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activeTab="6"/>
  </bookViews>
  <sheets>
    <sheet name="Menu" sheetId="5" r:id="rId1"/>
    <sheet name="TVC" sheetId="1" r:id="rId2"/>
    <sheet name="Reitor" sheetId="61" r:id="rId3"/>
    <sheet name="TUP" sheetId="60" r:id="rId4"/>
    <sheet name="SMP" sheetId="59" r:id="rId5"/>
    <sheet name="JND" sheetId="58" r:id="rId6"/>
    <sheet name="IST" sheetId="57" r:id="rId7"/>
    <sheet name="VTP" sheetId="56" r:id="rId8"/>
    <sheet name="SZN" sheetId="55" r:id="rId9"/>
    <sheet name="SOR" sheetId="54" r:id="rId10"/>
    <sheet name="SRT" sheetId="53" r:id="rId11"/>
    <sheet name="SRQ" sheetId="52" r:id="rId12"/>
    <sheet name="SPO" sheetId="51" r:id="rId13"/>
    <sheet name="SJC" sheetId="50" r:id="rId14"/>
    <sheet name="SBV" sheetId="49" r:id="rId15"/>
    <sheet name="SCL" sheetId="48" r:id="rId16"/>
    <sheet name="SLT" sheetId="47" r:id="rId17"/>
    <sheet name="RGT" sheetId="46" r:id="rId18"/>
    <sheet name="PEP" sheetId="45" r:id="rId19"/>
    <sheet name="PTB" sheetId="44" r:id="rId20"/>
    <sheet name="PRC" sheetId="43" r:id="rId21"/>
    <sheet name="MTO" sheetId="42" r:id="rId22"/>
    <sheet name="JCR" sheetId="41" r:id="rId23"/>
    <sheet name="ITQ" sheetId="40" r:id="rId24"/>
    <sheet name="ITP" sheetId="39" r:id="rId25"/>
    <sheet name="HTO" sheetId="38" r:id="rId26"/>
    <sheet name="GRU" sheetId="37" r:id="rId27"/>
    <sheet name="CBT" sheetId="36" r:id="rId28"/>
    <sheet name="CTD" sheetId="35" r:id="rId29"/>
    <sheet name="CAR" sheetId="34" r:id="rId30"/>
    <sheet name="CPV" sheetId="33" r:id="rId31"/>
    <sheet name="CJO" sheetId="32" r:id="rId32"/>
    <sheet name="CMP" sheetId="31" r:id="rId33"/>
    <sheet name="BRA" sheetId="30" r:id="rId34"/>
    <sheet name="BTV" sheetId="29" r:id="rId35"/>
    <sheet name="BRI" sheetId="28" r:id="rId36"/>
    <sheet name="BRT" sheetId="27" r:id="rId37"/>
    <sheet name="AVR" sheetId="26" r:id="rId38"/>
    <sheet name="ARQ" sheetId="25" r:id="rId39"/>
    <sheet name="TODOS" sheetId="4" state="hidden" r:id="rId40"/>
    <sheet name="campus" sheetId="7" state="hidden" r:id="rId41"/>
    <sheet name="urnas" sheetId="6" state="hidden" r:id="rId42"/>
    <sheet name="1C" sheetId="11" state="hidden" r:id="rId43"/>
    <sheet name="2C" sheetId="10" state="hidden" r:id="rId44"/>
    <sheet name="3C" sheetId="3" state="hidden" r:id="rId4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60" l="1"/>
  <c r="B154" i="61"/>
  <c r="E134" i="61"/>
  <c r="F134" i="61"/>
  <c r="G134" i="61"/>
  <c r="H134" i="61"/>
  <c r="I134" i="61"/>
  <c r="J134" i="61"/>
  <c r="D134" i="61"/>
  <c r="E124" i="61"/>
  <c r="E135" i="61" s="1"/>
  <c r="F124" i="61"/>
  <c r="F135" i="61" s="1"/>
  <c r="G124" i="61"/>
  <c r="G135" i="61" s="1"/>
  <c r="H124" i="61"/>
  <c r="H135" i="61" s="1"/>
  <c r="I124" i="61"/>
  <c r="I135" i="61" s="1"/>
  <c r="J124" i="61"/>
  <c r="J135" i="61" s="1"/>
  <c r="K124" i="61"/>
  <c r="K127" i="61" s="1"/>
  <c r="L124" i="61"/>
  <c r="E125" i="61"/>
  <c r="E136" i="61" s="1"/>
  <c r="F125" i="61"/>
  <c r="F136" i="61" s="1"/>
  <c r="G125" i="61"/>
  <c r="G136" i="61" s="1"/>
  <c r="H125" i="61"/>
  <c r="H136" i="61" s="1"/>
  <c r="I125" i="61"/>
  <c r="I136" i="61" s="1"/>
  <c r="J125" i="61"/>
  <c r="J136" i="61" s="1"/>
  <c r="K125" i="61"/>
  <c r="L125" i="61"/>
  <c r="E126" i="61"/>
  <c r="E137" i="61" s="1"/>
  <c r="F126" i="61"/>
  <c r="F127" i="61" s="1"/>
  <c r="G126" i="61"/>
  <c r="H126" i="61"/>
  <c r="H137" i="61" s="1"/>
  <c r="I126" i="61"/>
  <c r="I137" i="61" s="1"/>
  <c r="J126" i="61"/>
  <c r="J137" i="61" s="1"/>
  <c r="K126" i="61"/>
  <c r="L126" i="61"/>
  <c r="D126" i="61"/>
  <c r="D137" i="61" s="1"/>
  <c r="D125" i="61"/>
  <c r="D136" i="61" s="1"/>
  <c r="D124" i="61"/>
  <c r="D135" i="61" s="1"/>
  <c r="E123" i="61"/>
  <c r="F123" i="61"/>
  <c r="G123" i="61"/>
  <c r="H123" i="61"/>
  <c r="I123" i="61"/>
  <c r="J123" i="61"/>
  <c r="K123" i="61"/>
  <c r="L123" i="61"/>
  <c r="D123" i="61"/>
  <c r="M10" i="61"/>
  <c r="N10" i="61"/>
  <c r="N126" i="61" s="1"/>
  <c r="M11" i="61"/>
  <c r="N11" i="61"/>
  <c r="M12" i="61"/>
  <c r="N12" i="61"/>
  <c r="M13" i="61"/>
  <c r="N13" i="61"/>
  <c r="M14" i="61"/>
  <c r="N14" i="61"/>
  <c r="M15" i="61"/>
  <c r="N15" i="61"/>
  <c r="M16" i="61"/>
  <c r="N16" i="61"/>
  <c r="M17" i="61"/>
  <c r="N17" i="61"/>
  <c r="M18" i="61"/>
  <c r="N18" i="61"/>
  <c r="M19" i="61"/>
  <c r="N19" i="61"/>
  <c r="M20" i="61"/>
  <c r="N20" i="61"/>
  <c r="M21" i="61"/>
  <c r="N21" i="61"/>
  <c r="M22" i="61"/>
  <c r="N22" i="61"/>
  <c r="M23" i="61"/>
  <c r="N23" i="61"/>
  <c r="M24" i="61"/>
  <c r="N24" i="61"/>
  <c r="M25" i="61"/>
  <c r="N25" i="61"/>
  <c r="M26" i="61"/>
  <c r="N26" i="61"/>
  <c r="M27" i="61"/>
  <c r="N27" i="61"/>
  <c r="M28" i="61"/>
  <c r="N28" i="61"/>
  <c r="M29" i="61"/>
  <c r="N29" i="61"/>
  <c r="M30" i="61"/>
  <c r="N30" i="61"/>
  <c r="M31" i="61"/>
  <c r="N31" i="61"/>
  <c r="M32" i="61"/>
  <c r="N32" i="61"/>
  <c r="M33" i="61"/>
  <c r="N33" i="61"/>
  <c r="M34" i="61"/>
  <c r="N34" i="61"/>
  <c r="M35" i="61"/>
  <c r="N35" i="61"/>
  <c r="M36" i="61"/>
  <c r="N36" i="61"/>
  <c r="M37" i="61"/>
  <c r="N37" i="61"/>
  <c r="M38" i="61"/>
  <c r="N38" i="61"/>
  <c r="M39" i="61"/>
  <c r="N39" i="61"/>
  <c r="M40" i="61"/>
  <c r="N40" i="61"/>
  <c r="M41" i="61"/>
  <c r="N41" i="61"/>
  <c r="M42" i="61"/>
  <c r="N42" i="61"/>
  <c r="M43" i="61"/>
  <c r="N43" i="61"/>
  <c r="M44" i="61"/>
  <c r="N44" i="61"/>
  <c r="M45" i="61"/>
  <c r="N45" i="61"/>
  <c r="M46" i="61"/>
  <c r="N46" i="61"/>
  <c r="M47" i="61"/>
  <c r="N47" i="61"/>
  <c r="M48" i="61"/>
  <c r="N48" i="61"/>
  <c r="M49" i="61"/>
  <c r="N49" i="61"/>
  <c r="M50" i="61"/>
  <c r="N50" i="61"/>
  <c r="M51" i="61"/>
  <c r="N51" i="61"/>
  <c r="M52" i="61"/>
  <c r="N52" i="61"/>
  <c r="M53" i="61"/>
  <c r="N53" i="61"/>
  <c r="M54" i="61"/>
  <c r="N54" i="61"/>
  <c r="M55" i="61"/>
  <c r="N55" i="61"/>
  <c r="M56" i="61"/>
  <c r="N56" i="61"/>
  <c r="M57" i="61"/>
  <c r="N57" i="61"/>
  <c r="M58" i="61"/>
  <c r="N58" i="61"/>
  <c r="M59" i="61"/>
  <c r="N59" i="61"/>
  <c r="M60" i="61"/>
  <c r="N60" i="61"/>
  <c r="M61" i="61"/>
  <c r="N61" i="61"/>
  <c r="M62" i="61"/>
  <c r="N62" i="61"/>
  <c r="M63" i="61"/>
  <c r="N63" i="61"/>
  <c r="M64" i="61"/>
  <c r="N64" i="61"/>
  <c r="M65" i="61"/>
  <c r="N65" i="61"/>
  <c r="M66" i="61"/>
  <c r="N66" i="61"/>
  <c r="M67" i="61"/>
  <c r="N67" i="61"/>
  <c r="M68" i="61"/>
  <c r="N68" i="61"/>
  <c r="M69" i="61"/>
  <c r="N69" i="61"/>
  <c r="M70" i="61"/>
  <c r="N70" i="61"/>
  <c r="M71" i="61"/>
  <c r="N71" i="61"/>
  <c r="M72" i="61"/>
  <c r="N72" i="61"/>
  <c r="M73" i="61"/>
  <c r="N73" i="61"/>
  <c r="M74" i="61"/>
  <c r="N74" i="61"/>
  <c r="M75" i="61"/>
  <c r="N75" i="61"/>
  <c r="M76" i="61"/>
  <c r="N76" i="61"/>
  <c r="M77" i="61"/>
  <c r="N77" i="61"/>
  <c r="M78" i="61"/>
  <c r="N78" i="61"/>
  <c r="M79" i="61"/>
  <c r="N79" i="61"/>
  <c r="M80" i="61"/>
  <c r="N80" i="61"/>
  <c r="M81" i="61"/>
  <c r="N81" i="61"/>
  <c r="M82" i="61"/>
  <c r="N82" i="61"/>
  <c r="M83" i="61"/>
  <c r="N83" i="61"/>
  <c r="M84" i="61"/>
  <c r="N84" i="61"/>
  <c r="M85" i="61"/>
  <c r="N85" i="61"/>
  <c r="M86" i="61"/>
  <c r="N86" i="61"/>
  <c r="M87" i="61"/>
  <c r="N87" i="61"/>
  <c r="M88" i="61"/>
  <c r="N88" i="61"/>
  <c r="M89" i="61"/>
  <c r="N89" i="61"/>
  <c r="M90" i="61"/>
  <c r="N90" i="61"/>
  <c r="M91" i="61"/>
  <c r="N91" i="61"/>
  <c r="M92" i="61"/>
  <c r="N92" i="61"/>
  <c r="M93" i="61"/>
  <c r="N93" i="61"/>
  <c r="M94" i="61"/>
  <c r="N94" i="61"/>
  <c r="M95" i="61"/>
  <c r="N95" i="61"/>
  <c r="M96" i="61"/>
  <c r="N96" i="61"/>
  <c r="M97" i="61"/>
  <c r="N97" i="61"/>
  <c r="M98" i="61"/>
  <c r="N98" i="61"/>
  <c r="M99" i="61"/>
  <c r="N99" i="61"/>
  <c r="M100" i="61"/>
  <c r="N100" i="61"/>
  <c r="M101" i="61"/>
  <c r="N101" i="61"/>
  <c r="M102" i="61"/>
  <c r="N102" i="61"/>
  <c r="M103" i="61"/>
  <c r="N103" i="61"/>
  <c r="M104" i="61"/>
  <c r="N104" i="61"/>
  <c r="M105" i="61"/>
  <c r="N105" i="61"/>
  <c r="M106" i="61"/>
  <c r="N106" i="61"/>
  <c r="M107" i="61"/>
  <c r="N107" i="61"/>
  <c r="M108" i="61"/>
  <c r="N108" i="61"/>
  <c r="M109" i="61"/>
  <c r="N109" i="61"/>
  <c r="M110" i="61"/>
  <c r="N110" i="61"/>
  <c r="M111" i="61"/>
  <c r="N111" i="61"/>
  <c r="M112" i="61"/>
  <c r="N112" i="61"/>
  <c r="M113" i="61"/>
  <c r="N113" i="61"/>
  <c r="M114" i="61"/>
  <c r="N114" i="61"/>
  <c r="M115" i="61"/>
  <c r="N115" i="61"/>
  <c r="M116" i="61"/>
  <c r="N116" i="61"/>
  <c r="Q5" i="61"/>
  <c r="M9" i="61"/>
  <c r="N9" i="61"/>
  <c r="N125" i="61" s="1"/>
  <c r="M8" i="61"/>
  <c r="N8" i="61"/>
  <c r="N124" i="61" s="1"/>
  <c r="N127" i="61" s="1"/>
  <c r="B3" i="57"/>
  <c r="B3" i="58"/>
  <c r="B3" i="59"/>
  <c r="B3" i="60"/>
  <c r="F20" i="60"/>
  <c r="K18" i="60"/>
  <c r="D18" i="60"/>
  <c r="D22" i="60" s="1"/>
  <c r="F11" i="60"/>
  <c r="E11" i="60"/>
  <c r="D11" i="60"/>
  <c r="G10" i="60"/>
  <c r="C10" i="60"/>
  <c r="B10" i="60"/>
  <c r="H10" i="60" s="1"/>
  <c r="G9" i="60"/>
  <c r="D20" i="60" s="1"/>
  <c r="C9" i="60"/>
  <c r="B9" i="60"/>
  <c r="H9" i="60" s="1"/>
  <c r="G8" i="60"/>
  <c r="C8" i="60"/>
  <c r="B8" i="60"/>
  <c r="H8" i="60" s="1"/>
  <c r="D7" i="60"/>
  <c r="F20" i="59"/>
  <c r="K18" i="59"/>
  <c r="D18" i="59"/>
  <c r="D22" i="59" s="1"/>
  <c r="F11" i="59"/>
  <c r="E11" i="59"/>
  <c r="D11" i="59"/>
  <c r="G10" i="59"/>
  <c r="C10" i="59"/>
  <c r="B10" i="59"/>
  <c r="H10" i="59" s="1"/>
  <c r="G9" i="59"/>
  <c r="D20" i="59" s="1"/>
  <c r="C9" i="59"/>
  <c r="B9" i="59"/>
  <c r="H9" i="59" s="1"/>
  <c r="G8" i="59"/>
  <c r="D19" i="59" s="1"/>
  <c r="C8" i="59"/>
  <c r="B8" i="59"/>
  <c r="H8" i="59" s="1"/>
  <c r="D7" i="59"/>
  <c r="G22" i="58"/>
  <c r="L19" i="58"/>
  <c r="L18" i="58"/>
  <c r="E18" i="58"/>
  <c r="E22" i="58" s="1"/>
  <c r="D18" i="58"/>
  <c r="D22" i="58" s="1"/>
  <c r="G11" i="58"/>
  <c r="F11" i="58"/>
  <c r="E11" i="58"/>
  <c r="D11" i="58"/>
  <c r="H10" i="58"/>
  <c r="C10" i="58"/>
  <c r="B10" i="58"/>
  <c r="I10" i="58" s="1"/>
  <c r="H9" i="58"/>
  <c r="D20" i="58" s="1"/>
  <c r="C9" i="58"/>
  <c r="B9" i="58"/>
  <c r="I9" i="58" s="1"/>
  <c r="I8" i="58"/>
  <c r="H8" i="58"/>
  <c r="D19" i="58" s="1"/>
  <c r="C8" i="58"/>
  <c r="B8" i="58"/>
  <c r="E7" i="58"/>
  <c r="D7" i="58"/>
  <c r="G22" i="57"/>
  <c r="L19" i="57"/>
  <c r="L18" i="57"/>
  <c r="E18" i="57"/>
  <c r="E22" i="57" s="1"/>
  <c r="D18" i="57"/>
  <c r="D22" i="57" s="1"/>
  <c r="G11" i="57"/>
  <c r="F11" i="57"/>
  <c r="E11" i="57"/>
  <c r="D11" i="57"/>
  <c r="I10" i="57"/>
  <c r="H10" i="57"/>
  <c r="C10" i="57"/>
  <c r="B10" i="57"/>
  <c r="H9" i="57"/>
  <c r="D20" i="57" s="1"/>
  <c r="C9" i="57"/>
  <c r="B9" i="57"/>
  <c r="I9" i="57" s="1"/>
  <c r="I8" i="57"/>
  <c r="H8" i="57"/>
  <c r="E19" i="57" s="1"/>
  <c r="C8" i="57"/>
  <c r="B8" i="57"/>
  <c r="E7" i="57"/>
  <c r="D7" i="57"/>
  <c r="G22" i="56"/>
  <c r="E21" i="56"/>
  <c r="D21" i="56"/>
  <c r="E20" i="56"/>
  <c r="D20" i="56"/>
  <c r="D22" i="56" s="1"/>
  <c r="L19" i="56"/>
  <c r="E19" i="56"/>
  <c r="D19" i="56"/>
  <c r="L18" i="56"/>
  <c r="E18" i="56"/>
  <c r="E23" i="56" s="1"/>
  <c r="D18" i="56"/>
  <c r="D23" i="56" s="1"/>
  <c r="G11" i="56"/>
  <c r="F11" i="56"/>
  <c r="E11" i="56"/>
  <c r="D11" i="56"/>
  <c r="G23" i="56" s="1"/>
  <c r="H10" i="56"/>
  <c r="C10" i="56"/>
  <c r="B10" i="56"/>
  <c r="I10" i="56" s="1"/>
  <c r="H9" i="56"/>
  <c r="C9" i="56"/>
  <c r="B9" i="56"/>
  <c r="I9" i="56" s="1"/>
  <c r="H8" i="56"/>
  <c r="H11" i="56" s="1"/>
  <c r="C8" i="56"/>
  <c r="B8" i="56"/>
  <c r="I8" i="56" s="1"/>
  <c r="E7" i="56"/>
  <c r="D7" i="56"/>
  <c r="B3" i="56"/>
  <c r="H24" i="55"/>
  <c r="M21" i="55"/>
  <c r="F21" i="55"/>
  <c r="E21" i="55"/>
  <c r="D21" i="55"/>
  <c r="F20" i="55"/>
  <c r="E20" i="55"/>
  <c r="D20" i="55"/>
  <c r="M19" i="55"/>
  <c r="F19" i="55"/>
  <c r="F22" i="55" s="1"/>
  <c r="E19" i="55"/>
  <c r="E22" i="55" s="1"/>
  <c r="D19" i="55"/>
  <c r="D22" i="55" s="1"/>
  <c r="N5" i="55" s="1"/>
  <c r="M18" i="55"/>
  <c r="F18" i="55"/>
  <c r="F23" i="55" s="1"/>
  <c r="E18" i="55"/>
  <c r="E23" i="55" s="1"/>
  <c r="D18" i="55"/>
  <c r="D23" i="55" s="1"/>
  <c r="I11" i="55"/>
  <c r="H11" i="55"/>
  <c r="G11" i="55"/>
  <c r="F11" i="55"/>
  <c r="E11" i="55"/>
  <c r="D11" i="55"/>
  <c r="H25" i="55" s="1"/>
  <c r="I10" i="55"/>
  <c r="C10" i="55"/>
  <c r="B10" i="55"/>
  <c r="J10" i="55" s="1"/>
  <c r="I9" i="55"/>
  <c r="C9" i="55"/>
  <c r="B9" i="55"/>
  <c r="J9" i="55" s="1"/>
  <c r="I8" i="55"/>
  <c r="C8" i="55"/>
  <c r="B8" i="55"/>
  <c r="J8" i="55" s="1"/>
  <c r="F7" i="55"/>
  <c r="E7" i="55"/>
  <c r="D7" i="55"/>
  <c r="B3" i="55"/>
  <c r="G22" i="54"/>
  <c r="E21" i="54"/>
  <c r="D21" i="54"/>
  <c r="E20" i="54"/>
  <c r="D20" i="54"/>
  <c r="L19" i="54"/>
  <c r="E19" i="54"/>
  <c r="D19" i="54"/>
  <c r="D22" i="54" s="1"/>
  <c r="L18" i="54"/>
  <c r="E18" i="54"/>
  <c r="E23" i="54" s="1"/>
  <c r="D18" i="54"/>
  <c r="D23" i="54" s="1"/>
  <c r="G11" i="54"/>
  <c r="F11" i="54"/>
  <c r="E11" i="54"/>
  <c r="D11" i="54"/>
  <c r="G23" i="54" s="1"/>
  <c r="H10" i="54"/>
  <c r="C10" i="54"/>
  <c r="B10" i="54"/>
  <c r="I10" i="54" s="1"/>
  <c r="H9" i="54"/>
  <c r="C9" i="54"/>
  <c r="B9" i="54"/>
  <c r="I9" i="54" s="1"/>
  <c r="H8" i="54"/>
  <c r="H11" i="54" s="1"/>
  <c r="C8" i="54"/>
  <c r="B8" i="54"/>
  <c r="I8" i="54" s="1"/>
  <c r="E7" i="54"/>
  <c r="D7" i="54"/>
  <c r="B3" i="54"/>
  <c r="H24" i="53"/>
  <c r="M21" i="53"/>
  <c r="F21" i="53"/>
  <c r="E21" i="53"/>
  <c r="D21" i="53"/>
  <c r="F20" i="53"/>
  <c r="F22" i="53" s="1"/>
  <c r="E20" i="53"/>
  <c r="D20" i="53"/>
  <c r="M19" i="53"/>
  <c r="F19" i="53"/>
  <c r="E19" i="53"/>
  <c r="E22" i="53" s="1"/>
  <c r="D19" i="53"/>
  <c r="D22" i="53" s="1"/>
  <c r="M18" i="53"/>
  <c r="F18" i="53"/>
  <c r="F23" i="53" s="1"/>
  <c r="E18" i="53"/>
  <c r="E23" i="53" s="1"/>
  <c r="D18" i="53"/>
  <c r="D23" i="53" s="1"/>
  <c r="I11" i="53"/>
  <c r="H11" i="53"/>
  <c r="G11" i="53"/>
  <c r="F11" i="53"/>
  <c r="E11" i="53"/>
  <c r="D11" i="53"/>
  <c r="H25" i="53" s="1"/>
  <c r="J10" i="53"/>
  <c r="I10" i="53"/>
  <c r="C10" i="53"/>
  <c r="B10" i="53"/>
  <c r="I9" i="53"/>
  <c r="C9" i="53"/>
  <c r="B9" i="53"/>
  <c r="J9" i="53" s="1"/>
  <c r="J8" i="53"/>
  <c r="I8" i="53"/>
  <c r="C8" i="53"/>
  <c r="B8" i="53"/>
  <c r="F7" i="53"/>
  <c r="E7" i="53"/>
  <c r="D7" i="53"/>
  <c r="B3" i="53"/>
  <c r="G22" i="52"/>
  <c r="E21" i="52"/>
  <c r="D21" i="52"/>
  <c r="E20" i="52"/>
  <c r="D20" i="52"/>
  <c r="L19" i="52"/>
  <c r="E19" i="52"/>
  <c r="D19" i="52"/>
  <c r="L18" i="52"/>
  <c r="E18" i="52"/>
  <c r="E23" i="52" s="1"/>
  <c r="D18" i="52"/>
  <c r="D23" i="52" s="1"/>
  <c r="G11" i="52"/>
  <c r="F11" i="52"/>
  <c r="E11" i="52"/>
  <c r="D11" i="52"/>
  <c r="G23" i="52" s="1"/>
  <c r="H10" i="52"/>
  <c r="C10" i="52"/>
  <c r="B10" i="52"/>
  <c r="I10" i="52" s="1"/>
  <c r="H9" i="52"/>
  <c r="C9" i="52"/>
  <c r="B9" i="52"/>
  <c r="I9" i="52" s="1"/>
  <c r="H8" i="52"/>
  <c r="H11" i="52" s="1"/>
  <c r="C8" i="52"/>
  <c r="B8" i="52"/>
  <c r="I8" i="52" s="1"/>
  <c r="E7" i="52"/>
  <c r="D7" i="52"/>
  <c r="B3" i="52"/>
  <c r="G22" i="51"/>
  <c r="E21" i="51"/>
  <c r="D21" i="51"/>
  <c r="E20" i="51"/>
  <c r="D20" i="51"/>
  <c r="L19" i="51"/>
  <c r="E19" i="51"/>
  <c r="E22" i="51" s="1"/>
  <c r="D19" i="51"/>
  <c r="L18" i="51"/>
  <c r="E18" i="51"/>
  <c r="E23" i="51" s="1"/>
  <c r="D18" i="51"/>
  <c r="D23" i="51" s="1"/>
  <c r="G11" i="51"/>
  <c r="F11" i="51"/>
  <c r="E11" i="51"/>
  <c r="D11" i="51"/>
  <c r="G23" i="51" s="1"/>
  <c r="H10" i="51"/>
  <c r="C10" i="51"/>
  <c r="B10" i="51"/>
  <c r="I10" i="51" s="1"/>
  <c r="H9" i="51"/>
  <c r="C9" i="51"/>
  <c r="B9" i="51"/>
  <c r="I9" i="51" s="1"/>
  <c r="H8" i="51"/>
  <c r="H11" i="51" s="1"/>
  <c r="C8" i="51"/>
  <c r="B8" i="51"/>
  <c r="I8" i="51" s="1"/>
  <c r="E7" i="51"/>
  <c r="D7" i="51"/>
  <c r="B3" i="51"/>
  <c r="G22" i="50"/>
  <c r="E21" i="50"/>
  <c r="D21" i="50"/>
  <c r="E20" i="50"/>
  <c r="D20" i="50"/>
  <c r="L19" i="50"/>
  <c r="E19" i="50"/>
  <c r="D19" i="50"/>
  <c r="D22" i="50" s="1"/>
  <c r="L18" i="50"/>
  <c r="E18" i="50"/>
  <c r="E23" i="50" s="1"/>
  <c r="D18" i="50"/>
  <c r="D23" i="50" s="1"/>
  <c r="G11" i="50"/>
  <c r="F11" i="50"/>
  <c r="E11" i="50"/>
  <c r="D11" i="50"/>
  <c r="G23" i="50" s="1"/>
  <c r="H10" i="50"/>
  <c r="C10" i="50"/>
  <c r="B10" i="50"/>
  <c r="I10" i="50" s="1"/>
  <c r="H9" i="50"/>
  <c r="C9" i="50"/>
  <c r="B9" i="50"/>
  <c r="I9" i="50" s="1"/>
  <c r="H8" i="50"/>
  <c r="H11" i="50" s="1"/>
  <c r="C8" i="50"/>
  <c r="B8" i="50"/>
  <c r="I8" i="50" s="1"/>
  <c r="E7" i="50"/>
  <c r="D7" i="50"/>
  <c r="B3" i="50"/>
  <c r="G22" i="49"/>
  <c r="E21" i="49"/>
  <c r="D21" i="49"/>
  <c r="E20" i="49"/>
  <c r="D20" i="49"/>
  <c r="L19" i="49"/>
  <c r="E19" i="49"/>
  <c r="E22" i="49" s="1"/>
  <c r="D19" i="49"/>
  <c r="D22" i="49" s="1"/>
  <c r="L18" i="49"/>
  <c r="E18" i="49"/>
  <c r="E23" i="49" s="1"/>
  <c r="D18" i="49"/>
  <c r="D23" i="49" s="1"/>
  <c r="G11" i="49"/>
  <c r="F11" i="49"/>
  <c r="E11" i="49"/>
  <c r="D11" i="49"/>
  <c r="G23" i="49" s="1"/>
  <c r="H10" i="49"/>
  <c r="C10" i="49"/>
  <c r="B10" i="49"/>
  <c r="I10" i="49" s="1"/>
  <c r="H9" i="49"/>
  <c r="C9" i="49"/>
  <c r="B9" i="49"/>
  <c r="I9" i="49" s="1"/>
  <c r="H8" i="49"/>
  <c r="H11" i="49" s="1"/>
  <c r="C8" i="49"/>
  <c r="B8" i="49"/>
  <c r="I8" i="49" s="1"/>
  <c r="E7" i="49"/>
  <c r="D7" i="49"/>
  <c r="B3" i="49"/>
  <c r="D21" i="48"/>
  <c r="F20" i="48"/>
  <c r="D20" i="48"/>
  <c r="D19" i="48"/>
  <c r="K18" i="48"/>
  <c r="D18" i="48"/>
  <c r="D23" i="48" s="1"/>
  <c r="G11" i="48"/>
  <c r="F11" i="48"/>
  <c r="E11" i="48"/>
  <c r="D11" i="48"/>
  <c r="G10" i="48"/>
  <c r="C10" i="48"/>
  <c r="B10" i="48"/>
  <c r="H10" i="48" s="1"/>
  <c r="G9" i="48"/>
  <c r="C9" i="48"/>
  <c r="B9" i="48"/>
  <c r="H9" i="48" s="1"/>
  <c r="G8" i="48"/>
  <c r="C8" i="48"/>
  <c r="B8" i="48"/>
  <c r="H8" i="48" s="1"/>
  <c r="D7" i="48"/>
  <c r="B3" i="48"/>
  <c r="D21" i="47"/>
  <c r="F20" i="47"/>
  <c r="D20" i="47"/>
  <c r="D19" i="47"/>
  <c r="K18" i="47"/>
  <c r="D18" i="47"/>
  <c r="D23" i="47" s="1"/>
  <c r="F11" i="47"/>
  <c r="E11" i="47"/>
  <c r="D11" i="47"/>
  <c r="G10" i="47"/>
  <c r="C10" i="47"/>
  <c r="B10" i="47"/>
  <c r="H10" i="47" s="1"/>
  <c r="G9" i="47"/>
  <c r="C9" i="47"/>
  <c r="B9" i="47"/>
  <c r="H9" i="47" s="1"/>
  <c r="G8" i="47"/>
  <c r="G11" i="47" s="1"/>
  <c r="C8" i="47"/>
  <c r="B8" i="47"/>
  <c r="H8" i="47" s="1"/>
  <c r="D7" i="47"/>
  <c r="B3" i="47"/>
  <c r="H24" i="46"/>
  <c r="M21" i="46"/>
  <c r="F21" i="46"/>
  <c r="E21" i="46"/>
  <c r="D21" i="46"/>
  <c r="F20" i="46"/>
  <c r="E20" i="46"/>
  <c r="D20" i="46"/>
  <c r="M19" i="46"/>
  <c r="F19" i="46"/>
  <c r="F22" i="46" s="1"/>
  <c r="E19" i="46"/>
  <c r="E22" i="46" s="1"/>
  <c r="D19" i="46"/>
  <c r="M18" i="46"/>
  <c r="F18" i="46"/>
  <c r="F23" i="46" s="1"/>
  <c r="E18" i="46"/>
  <c r="E23" i="46" s="1"/>
  <c r="D18" i="46"/>
  <c r="D23" i="46" s="1"/>
  <c r="H11" i="46"/>
  <c r="G11" i="46"/>
  <c r="F11" i="46"/>
  <c r="E11" i="46"/>
  <c r="D11" i="46"/>
  <c r="H25" i="46" s="1"/>
  <c r="J10" i="46"/>
  <c r="I10" i="46"/>
  <c r="C10" i="46"/>
  <c r="B10" i="46"/>
  <c r="I9" i="46"/>
  <c r="C9" i="46"/>
  <c r="B9" i="46"/>
  <c r="J9" i="46" s="1"/>
  <c r="J8" i="46"/>
  <c r="I8" i="46"/>
  <c r="I11" i="46" s="1"/>
  <c r="C8" i="46"/>
  <c r="B8" i="46"/>
  <c r="F7" i="46"/>
  <c r="E7" i="46"/>
  <c r="D7" i="46"/>
  <c r="B3" i="46"/>
  <c r="D21" i="45"/>
  <c r="F20" i="45"/>
  <c r="D20" i="45"/>
  <c r="D19" i="45"/>
  <c r="K18" i="45"/>
  <c r="D18" i="45"/>
  <c r="D23" i="45" s="1"/>
  <c r="F11" i="45"/>
  <c r="E11" i="45"/>
  <c r="D11" i="45"/>
  <c r="G10" i="45"/>
  <c r="C10" i="45"/>
  <c r="B10" i="45"/>
  <c r="H10" i="45" s="1"/>
  <c r="G9" i="45"/>
  <c r="C9" i="45"/>
  <c r="B9" i="45"/>
  <c r="H9" i="45" s="1"/>
  <c r="G8" i="45"/>
  <c r="G11" i="45" s="1"/>
  <c r="C8" i="45"/>
  <c r="B8" i="45"/>
  <c r="H8" i="45" s="1"/>
  <c r="D7" i="45"/>
  <c r="B3" i="45"/>
  <c r="G22" i="44"/>
  <c r="E21" i="44"/>
  <c r="D21" i="44"/>
  <c r="E20" i="44"/>
  <c r="D20" i="44"/>
  <c r="L19" i="44"/>
  <c r="E19" i="44"/>
  <c r="E22" i="44" s="1"/>
  <c r="D19" i="44"/>
  <c r="D22" i="44" s="1"/>
  <c r="L18" i="44"/>
  <c r="E18" i="44"/>
  <c r="E23" i="44" s="1"/>
  <c r="D18" i="44"/>
  <c r="D23" i="44" s="1"/>
  <c r="G11" i="44"/>
  <c r="F11" i="44"/>
  <c r="E11" i="44"/>
  <c r="D11" i="44"/>
  <c r="G23" i="44" s="1"/>
  <c r="H10" i="44"/>
  <c r="C10" i="44"/>
  <c r="B10" i="44"/>
  <c r="I10" i="44" s="1"/>
  <c r="H9" i="44"/>
  <c r="C9" i="44"/>
  <c r="B9" i="44"/>
  <c r="I9" i="44" s="1"/>
  <c r="H8" i="44"/>
  <c r="H11" i="44" s="1"/>
  <c r="C8" i="44"/>
  <c r="B8" i="44"/>
  <c r="I8" i="44" s="1"/>
  <c r="E7" i="44"/>
  <c r="D7" i="44"/>
  <c r="B3" i="44"/>
  <c r="G22" i="43"/>
  <c r="E21" i="43"/>
  <c r="D21" i="43"/>
  <c r="E20" i="43"/>
  <c r="D20" i="43"/>
  <c r="L19" i="43"/>
  <c r="E19" i="43"/>
  <c r="E22" i="43" s="1"/>
  <c r="D19" i="43"/>
  <c r="D22" i="43" s="1"/>
  <c r="L18" i="43"/>
  <c r="E18" i="43"/>
  <c r="E23" i="43" s="1"/>
  <c r="D18" i="43"/>
  <c r="D23" i="43" s="1"/>
  <c r="G11" i="43"/>
  <c r="F11" i="43"/>
  <c r="E11" i="43"/>
  <c r="D11" i="43"/>
  <c r="G23" i="43" s="1"/>
  <c r="H10" i="43"/>
  <c r="C10" i="43"/>
  <c r="B10" i="43"/>
  <c r="I10" i="43" s="1"/>
  <c r="H9" i="43"/>
  <c r="C9" i="43"/>
  <c r="B9" i="43"/>
  <c r="I9" i="43" s="1"/>
  <c r="H8" i="43"/>
  <c r="H11" i="43" s="1"/>
  <c r="C8" i="43"/>
  <c r="B8" i="43"/>
  <c r="I8" i="43" s="1"/>
  <c r="E7" i="43"/>
  <c r="D7" i="43"/>
  <c r="B3" i="43"/>
  <c r="G22" i="42"/>
  <c r="E21" i="42"/>
  <c r="D21" i="42"/>
  <c r="E20" i="42"/>
  <c r="D20" i="42"/>
  <c r="L19" i="42"/>
  <c r="E19" i="42"/>
  <c r="E22" i="42" s="1"/>
  <c r="D19" i="42"/>
  <c r="L18" i="42"/>
  <c r="E18" i="42"/>
  <c r="E23" i="42" s="1"/>
  <c r="D18" i="42"/>
  <c r="D23" i="42" s="1"/>
  <c r="G11" i="42"/>
  <c r="F11" i="42"/>
  <c r="E11" i="42"/>
  <c r="D11" i="42"/>
  <c r="G23" i="42" s="1"/>
  <c r="H10" i="42"/>
  <c r="C10" i="42"/>
  <c r="B10" i="42"/>
  <c r="I10" i="42" s="1"/>
  <c r="H9" i="42"/>
  <c r="C9" i="42"/>
  <c r="B9" i="42"/>
  <c r="I9" i="42" s="1"/>
  <c r="H8" i="42"/>
  <c r="H11" i="42" s="1"/>
  <c r="C8" i="42"/>
  <c r="B8" i="42"/>
  <c r="I8" i="42" s="1"/>
  <c r="E7" i="42"/>
  <c r="D7" i="42"/>
  <c r="B3" i="42"/>
  <c r="D21" i="41"/>
  <c r="F20" i="41"/>
  <c r="D20" i="41"/>
  <c r="D19" i="41"/>
  <c r="K18" i="41"/>
  <c r="D18" i="41"/>
  <c r="D23" i="41" s="1"/>
  <c r="F11" i="41"/>
  <c r="E11" i="41"/>
  <c r="D11" i="41"/>
  <c r="G10" i="41"/>
  <c r="C10" i="41"/>
  <c r="B10" i="41"/>
  <c r="H10" i="41" s="1"/>
  <c r="G9" i="41"/>
  <c r="C9" i="41"/>
  <c r="B9" i="41"/>
  <c r="H9" i="41" s="1"/>
  <c r="G8" i="41"/>
  <c r="G11" i="41" s="1"/>
  <c r="C8" i="41"/>
  <c r="B8" i="41"/>
  <c r="H8" i="41" s="1"/>
  <c r="D7" i="41"/>
  <c r="B3" i="41"/>
  <c r="G22" i="40"/>
  <c r="E21" i="40"/>
  <c r="D21" i="40"/>
  <c r="E20" i="40"/>
  <c r="D20" i="40"/>
  <c r="D22" i="40" s="1"/>
  <c r="L19" i="40"/>
  <c r="E19" i="40"/>
  <c r="E22" i="40" s="1"/>
  <c r="D19" i="40"/>
  <c r="L18" i="40"/>
  <c r="E18" i="40"/>
  <c r="E23" i="40" s="1"/>
  <c r="D18" i="40"/>
  <c r="D23" i="40" s="1"/>
  <c r="G11" i="40"/>
  <c r="F11" i="40"/>
  <c r="E11" i="40"/>
  <c r="D11" i="40"/>
  <c r="G23" i="40" s="1"/>
  <c r="H10" i="40"/>
  <c r="C10" i="40"/>
  <c r="B10" i="40"/>
  <c r="I10" i="40" s="1"/>
  <c r="H9" i="40"/>
  <c r="C9" i="40"/>
  <c r="B9" i="40"/>
  <c r="I9" i="40" s="1"/>
  <c r="H8" i="40"/>
  <c r="H11" i="40" s="1"/>
  <c r="C8" i="40"/>
  <c r="B8" i="40"/>
  <c r="I8" i="40" s="1"/>
  <c r="E7" i="40"/>
  <c r="D7" i="40"/>
  <c r="B3" i="40"/>
  <c r="D21" i="39"/>
  <c r="F20" i="39"/>
  <c r="D20" i="39"/>
  <c r="D19" i="39"/>
  <c r="K18" i="39"/>
  <c r="D18" i="39"/>
  <c r="D23" i="39" s="1"/>
  <c r="F11" i="39"/>
  <c r="E11" i="39"/>
  <c r="D11" i="39"/>
  <c r="G10" i="39"/>
  <c r="C10" i="39"/>
  <c r="B10" i="39"/>
  <c r="H10" i="39" s="1"/>
  <c r="G9" i="39"/>
  <c r="C9" i="39"/>
  <c r="B9" i="39"/>
  <c r="H9" i="39" s="1"/>
  <c r="G8" i="39"/>
  <c r="G11" i="39" s="1"/>
  <c r="C8" i="39"/>
  <c r="B8" i="39"/>
  <c r="H8" i="39" s="1"/>
  <c r="D7" i="39"/>
  <c r="B3" i="39"/>
  <c r="G22" i="38"/>
  <c r="E21" i="38"/>
  <c r="D21" i="38"/>
  <c r="E20" i="38"/>
  <c r="D20" i="38"/>
  <c r="L19" i="38"/>
  <c r="E19" i="38"/>
  <c r="D19" i="38"/>
  <c r="D22" i="38" s="1"/>
  <c r="L18" i="38"/>
  <c r="E18" i="38"/>
  <c r="E23" i="38" s="1"/>
  <c r="D18" i="38"/>
  <c r="D23" i="38" s="1"/>
  <c r="H11" i="38"/>
  <c r="G11" i="38"/>
  <c r="F11" i="38"/>
  <c r="E11" i="38"/>
  <c r="D11" i="38"/>
  <c r="G23" i="38" s="1"/>
  <c r="H10" i="38"/>
  <c r="C10" i="38"/>
  <c r="B10" i="38"/>
  <c r="I10" i="38" s="1"/>
  <c r="H9" i="38"/>
  <c r="C9" i="38"/>
  <c r="B9" i="38"/>
  <c r="I9" i="38" s="1"/>
  <c r="H8" i="38"/>
  <c r="C8" i="38"/>
  <c r="B8" i="38"/>
  <c r="I8" i="38" s="1"/>
  <c r="E7" i="38"/>
  <c r="D7" i="38"/>
  <c r="B3" i="38"/>
  <c r="G22" i="37"/>
  <c r="E21" i="37"/>
  <c r="D21" i="37"/>
  <c r="E20" i="37"/>
  <c r="D20" i="37"/>
  <c r="L19" i="37"/>
  <c r="E19" i="37"/>
  <c r="D19" i="37"/>
  <c r="L18" i="37"/>
  <c r="E18" i="37"/>
  <c r="E23" i="37" s="1"/>
  <c r="D18" i="37"/>
  <c r="D23" i="37" s="1"/>
  <c r="G11" i="37"/>
  <c r="F11" i="37"/>
  <c r="E11" i="37"/>
  <c r="D11" i="37"/>
  <c r="G23" i="37" s="1"/>
  <c r="H10" i="37"/>
  <c r="C10" i="37"/>
  <c r="B10" i="37"/>
  <c r="I10" i="37" s="1"/>
  <c r="H9" i="37"/>
  <c r="C9" i="37"/>
  <c r="B9" i="37"/>
  <c r="I9" i="37" s="1"/>
  <c r="H8" i="37"/>
  <c r="H11" i="37" s="1"/>
  <c r="C8" i="37"/>
  <c r="B8" i="37"/>
  <c r="I8" i="37" s="1"/>
  <c r="E7" i="37"/>
  <c r="D7" i="37"/>
  <c r="B3" i="37"/>
  <c r="G22" i="36"/>
  <c r="E21" i="36"/>
  <c r="D21" i="36"/>
  <c r="E20" i="36"/>
  <c r="D20" i="36"/>
  <c r="L19" i="36"/>
  <c r="E19" i="36"/>
  <c r="E22" i="36" s="1"/>
  <c r="D19" i="36"/>
  <c r="D22" i="36" s="1"/>
  <c r="L18" i="36"/>
  <c r="E18" i="36"/>
  <c r="E23" i="36" s="1"/>
  <c r="D18" i="36"/>
  <c r="D23" i="36" s="1"/>
  <c r="G11" i="36"/>
  <c r="F11" i="36"/>
  <c r="E11" i="36"/>
  <c r="D11" i="36"/>
  <c r="G23" i="36" s="1"/>
  <c r="H10" i="36"/>
  <c r="C10" i="36"/>
  <c r="B10" i="36"/>
  <c r="I10" i="36" s="1"/>
  <c r="H9" i="36"/>
  <c r="C9" i="36"/>
  <c r="B9" i="36"/>
  <c r="I9" i="36" s="1"/>
  <c r="H8" i="36"/>
  <c r="H11" i="36" s="1"/>
  <c r="C8" i="36"/>
  <c r="B8" i="36"/>
  <c r="I8" i="36" s="1"/>
  <c r="E7" i="36"/>
  <c r="D7" i="36"/>
  <c r="B3" i="36"/>
  <c r="G22" i="35"/>
  <c r="E21" i="35"/>
  <c r="D21" i="35"/>
  <c r="E20" i="35"/>
  <c r="D20" i="35"/>
  <c r="L19" i="35"/>
  <c r="E19" i="35"/>
  <c r="E22" i="35" s="1"/>
  <c r="D19" i="35"/>
  <c r="L18" i="35"/>
  <c r="E18" i="35"/>
  <c r="E23" i="35" s="1"/>
  <c r="D18" i="35"/>
  <c r="D23" i="35" s="1"/>
  <c r="G11" i="35"/>
  <c r="F11" i="35"/>
  <c r="E11" i="35"/>
  <c r="D11" i="35"/>
  <c r="G23" i="35" s="1"/>
  <c r="H10" i="35"/>
  <c r="C10" i="35"/>
  <c r="B10" i="35"/>
  <c r="I10" i="35" s="1"/>
  <c r="H9" i="35"/>
  <c r="C9" i="35"/>
  <c r="B9" i="35"/>
  <c r="I9" i="35" s="1"/>
  <c r="H8" i="35"/>
  <c r="H11" i="35" s="1"/>
  <c r="C8" i="35"/>
  <c r="B8" i="35"/>
  <c r="I8" i="35" s="1"/>
  <c r="E7" i="35"/>
  <c r="D7" i="35"/>
  <c r="B3" i="35"/>
  <c r="G22" i="34"/>
  <c r="E21" i="34"/>
  <c r="D21" i="34"/>
  <c r="E20" i="34"/>
  <c r="D20" i="34"/>
  <c r="L19" i="34"/>
  <c r="E19" i="34"/>
  <c r="D19" i="34"/>
  <c r="L18" i="34"/>
  <c r="E18" i="34"/>
  <c r="E23" i="34" s="1"/>
  <c r="D18" i="34"/>
  <c r="D23" i="34" s="1"/>
  <c r="G11" i="34"/>
  <c r="F11" i="34"/>
  <c r="E11" i="34"/>
  <c r="D11" i="34"/>
  <c r="G23" i="34" s="1"/>
  <c r="H10" i="34"/>
  <c r="C10" i="34"/>
  <c r="B10" i="34"/>
  <c r="I10" i="34" s="1"/>
  <c r="H9" i="34"/>
  <c r="C9" i="34"/>
  <c r="B9" i="34"/>
  <c r="I9" i="34" s="1"/>
  <c r="H8" i="34"/>
  <c r="H11" i="34" s="1"/>
  <c r="C8" i="34"/>
  <c r="B8" i="34"/>
  <c r="I8" i="34" s="1"/>
  <c r="E7" i="34"/>
  <c r="D7" i="34"/>
  <c r="B3" i="34"/>
  <c r="D21" i="33"/>
  <c r="F20" i="33"/>
  <c r="D20" i="33"/>
  <c r="D19" i="33"/>
  <c r="K18" i="33"/>
  <c r="D18" i="33"/>
  <c r="D23" i="33" s="1"/>
  <c r="F11" i="33"/>
  <c r="E11" i="33"/>
  <c r="D11" i="33"/>
  <c r="G10" i="33"/>
  <c r="C10" i="33"/>
  <c r="B10" i="33"/>
  <c r="H10" i="33" s="1"/>
  <c r="H9" i="33"/>
  <c r="G9" i="33"/>
  <c r="C9" i="33"/>
  <c r="B9" i="33"/>
  <c r="G8" i="33"/>
  <c r="G11" i="33" s="1"/>
  <c r="C8" i="33"/>
  <c r="B8" i="33"/>
  <c r="H8" i="33" s="1"/>
  <c r="D7" i="33"/>
  <c r="B3" i="33"/>
  <c r="H24" i="32"/>
  <c r="M21" i="32"/>
  <c r="F21" i="32"/>
  <c r="E21" i="32"/>
  <c r="D21" i="32"/>
  <c r="F20" i="32"/>
  <c r="E20" i="32"/>
  <c r="E22" i="32" s="1"/>
  <c r="D20" i="32"/>
  <c r="D22" i="32" s="1"/>
  <c r="M19" i="32"/>
  <c r="F19" i="32"/>
  <c r="E19" i="32"/>
  <c r="D19" i="32"/>
  <c r="M18" i="32"/>
  <c r="F18" i="32"/>
  <c r="F23" i="32" s="1"/>
  <c r="E18" i="32"/>
  <c r="E23" i="32" s="1"/>
  <c r="D18" i="32"/>
  <c r="D23" i="32" s="1"/>
  <c r="H11" i="32"/>
  <c r="G11" i="32"/>
  <c r="F11" i="32"/>
  <c r="E11" i="32"/>
  <c r="D11" i="32"/>
  <c r="H25" i="32" s="1"/>
  <c r="I10" i="32"/>
  <c r="C10" i="32"/>
  <c r="B10" i="32"/>
  <c r="J10" i="32" s="1"/>
  <c r="I9" i="32"/>
  <c r="C9" i="32"/>
  <c r="B9" i="32"/>
  <c r="J9" i="32" s="1"/>
  <c r="I8" i="32"/>
  <c r="I11" i="32" s="1"/>
  <c r="C8" i="32"/>
  <c r="B8" i="32"/>
  <c r="J8" i="32" s="1"/>
  <c r="F7" i="32"/>
  <c r="E7" i="32"/>
  <c r="D7" i="32"/>
  <c r="B3" i="32"/>
  <c r="G22" i="31"/>
  <c r="E21" i="31"/>
  <c r="D21" i="31"/>
  <c r="E20" i="31"/>
  <c r="D20" i="31"/>
  <c r="L19" i="31"/>
  <c r="E19" i="31"/>
  <c r="D19" i="31"/>
  <c r="D22" i="31" s="1"/>
  <c r="L18" i="31"/>
  <c r="E18" i="31"/>
  <c r="E23" i="31" s="1"/>
  <c r="D18" i="31"/>
  <c r="D23" i="31" s="1"/>
  <c r="H11" i="31"/>
  <c r="G11" i="31"/>
  <c r="F11" i="31"/>
  <c r="E11" i="31"/>
  <c r="D11" i="31"/>
  <c r="G23" i="31" s="1"/>
  <c r="H10" i="31"/>
  <c r="C10" i="31"/>
  <c r="B10" i="31"/>
  <c r="I10" i="31" s="1"/>
  <c r="H9" i="31"/>
  <c r="C9" i="31"/>
  <c r="B9" i="31"/>
  <c r="I9" i="31" s="1"/>
  <c r="H8" i="31"/>
  <c r="C8" i="31"/>
  <c r="B8" i="31"/>
  <c r="I8" i="31" s="1"/>
  <c r="E7" i="31"/>
  <c r="D7" i="31"/>
  <c r="B3" i="31"/>
  <c r="G22" i="30"/>
  <c r="E21" i="30"/>
  <c r="D21" i="30"/>
  <c r="E20" i="30"/>
  <c r="D20" i="30"/>
  <c r="L19" i="30"/>
  <c r="E19" i="30"/>
  <c r="E22" i="30" s="1"/>
  <c r="D19" i="30"/>
  <c r="L18" i="30"/>
  <c r="E18" i="30"/>
  <c r="E23" i="30" s="1"/>
  <c r="D18" i="30"/>
  <c r="D23" i="30" s="1"/>
  <c r="G11" i="30"/>
  <c r="F11" i="30"/>
  <c r="E11" i="30"/>
  <c r="D11" i="30"/>
  <c r="G23" i="30" s="1"/>
  <c r="I10" i="30"/>
  <c r="H10" i="30"/>
  <c r="C10" i="30"/>
  <c r="B10" i="30"/>
  <c r="H9" i="30"/>
  <c r="C9" i="30"/>
  <c r="B9" i="30"/>
  <c r="I9" i="30" s="1"/>
  <c r="I8" i="30"/>
  <c r="H8" i="30"/>
  <c r="H11" i="30" s="1"/>
  <c r="C8" i="30"/>
  <c r="B8" i="30"/>
  <c r="E7" i="30"/>
  <c r="D7" i="30"/>
  <c r="B3" i="30"/>
  <c r="G22" i="29"/>
  <c r="E21" i="29"/>
  <c r="D21" i="29"/>
  <c r="E20" i="29"/>
  <c r="D20" i="29"/>
  <c r="L19" i="29"/>
  <c r="E19" i="29"/>
  <c r="D19" i="29"/>
  <c r="L18" i="29"/>
  <c r="E18" i="29"/>
  <c r="E23" i="29" s="1"/>
  <c r="D18" i="29"/>
  <c r="D23" i="29" s="1"/>
  <c r="G11" i="29"/>
  <c r="F11" i="29"/>
  <c r="E11" i="29"/>
  <c r="D11" i="29"/>
  <c r="G23" i="29" s="1"/>
  <c r="H10" i="29"/>
  <c r="C10" i="29"/>
  <c r="B10" i="29"/>
  <c r="I10" i="29" s="1"/>
  <c r="H9" i="29"/>
  <c r="C9" i="29"/>
  <c r="B9" i="29"/>
  <c r="I9" i="29" s="1"/>
  <c r="H8" i="29"/>
  <c r="H11" i="29" s="1"/>
  <c r="C8" i="29"/>
  <c r="B8" i="29"/>
  <c r="I8" i="29" s="1"/>
  <c r="E7" i="29"/>
  <c r="D7" i="29"/>
  <c r="B3" i="29"/>
  <c r="G22" i="28"/>
  <c r="E21" i="28"/>
  <c r="D21" i="28"/>
  <c r="E20" i="28"/>
  <c r="D20" i="28"/>
  <c r="L19" i="28"/>
  <c r="E19" i="28"/>
  <c r="E22" i="28" s="1"/>
  <c r="D19" i="28"/>
  <c r="D22" i="28" s="1"/>
  <c r="L18" i="28"/>
  <c r="E18" i="28"/>
  <c r="E23" i="28" s="1"/>
  <c r="D18" i="28"/>
  <c r="D23" i="28" s="1"/>
  <c r="G11" i="28"/>
  <c r="F11" i="28"/>
  <c r="E11" i="28"/>
  <c r="D11" i="28"/>
  <c r="G23" i="28" s="1"/>
  <c r="H10" i="28"/>
  <c r="C10" i="28"/>
  <c r="B10" i="28"/>
  <c r="I10" i="28" s="1"/>
  <c r="H9" i="28"/>
  <c r="C9" i="28"/>
  <c r="B9" i="28"/>
  <c r="I9" i="28" s="1"/>
  <c r="H8" i="28"/>
  <c r="H11" i="28" s="1"/>
  <c r="C8" i="28"/>
  <c r="B8" i="28"/>
  <c r="I8" i="28" s="1"/>
  <c r="E7" i="28"/>
  <c r="D7" i="28"/>
  <c r="B3" i="28"/>
  <c r="D21" i="27"/>
  <c r="F20" i="27"/>
  <c r="D20" i="27"/>
  <c r="D19" i="27"/>
  <c r="K18" i="27"/>
  <c r="D18" i="27"/>
  <c r="D23" i="27" s="1"/>
  <c r="F11" i="27"/>
  <c r="E11" i="27"/>
  <c r="D11" i="27"/>
  <c r="G10" i="27"/>
  <c r="C10" i="27"/>
  <c r="B10" i="27"/>
  <c r="H10" i="27" s="1"/>
  <c r="G9" i="27"/>
  <c r="C9" i="27"/>
  <c r="B9" i="27"/>
  <c r="H9" i="27" s="1"/>
  <c r="G8" i="27"/>
  <c r="G11" i="27" s="1"/>
  <c r="C8" i="27"/>
  <c r="B8" i="27"/>
  <c r="H8" i="27" s="1"/>
  <c r="D7" i="27"/>
  <c r="B3" i="27"/>
  <c r="D21" i="26"/>
  <c r="F20" i="26"/>
  <c r="D20" i="26"/>
  <c r="D19" i="26"/>
  <c r="K18" i="26"/>
  <c r="D18" i="26"/>
  <c r="D23" i="26" s="1"/>
  <c r="F11" i="26"/>
  <c r="E11" i="26"/>
  <c r="D11" i="26"/>
  <c r="G10" i="26"/>
  <c r="C10" i="26"/>
  <c r="B10" i="26"/>
  <c r="H10" i="26" s="1"/>
  <c r="G9" i="26"/>
  <c r="C9" i="26"/>
  <c r="B9" i="26"/>
  <c r="H9" i="26" s="1"/>
  <c r="G8" i="26"/>
  <c r="G11" i="26" s="1"/>
  <c r="C8" i="26"/>
  <c r="B8" i="26"/>
  <c r="H8" i="26" s="1"/>
  <c r="D7" i="26"/>
  <c r="B3" i="26"/>
  <c r="H24" i="25"/>
  <c r="M21" i="25"/>
  <c r="F21" i="25"/>
  <c r="E21" i="25"/>
  <c r="D21" i="25"/>
  <c r="F20" i="25"/>
  <c r="E20" i="25"/>
  <c r="D20" i="25"/>
  <c r="M19" i="25"/>
  <c r="F19" i="25"/>
  <c r="F22" i="25" s="1"/>
  <c r="E19" i="25"/>
  <c r="D19" i="25"/>
  <c r="D22" i="25" s="1"/>
  <c r="M18" i="25"/>
  <c r="F18" i="25"/>
  <c r="F23" i="25" s="1"/>
  <c r="E18" i="25"/>
  <c r="E23" i="25" s="1"/>
  <c r="D18" i="25"/>
  <c r="D23" i="25" s="1"/>
  <c r="I11" i="25"/>
  <c r="H11" i="25"/>
  <c r="G11" i="25"/>
  <c r="F11" i="25"/>
  <c r="E11" i="25"/>
  <c r="D11" i="25"/>
  <c r="H25" i="25" s="1"/>
  <c r="I10" i="25"/>
  <c r="C10" i="25"/>
  <c r="B10" i="25"/>
  <c r="J10" i="25" s="1"/>
  <c r="I9" i="25"/>
  <c r="C9" i="25"/>
  <c r="B9" i="25"/>
  <c r="J9" i="25" s="1"/>
  <c r="I8" i="25"/>
  <c r="C8" i="25"/>
  <c r="B8" i="25"/>
  <c r="J8" i="25" s="1"/>
  <c r="F7" i="25"/>
  <c r="E7" i="25"/>
  <c r="D7" i="25"/>
  <c r="B3" i="25"/>
  <c r="F18" i="3"/>
  <c r="F23" i="3" s="1"/>
  <c r="E18" i="3"/>
  <c r="D18" i="3"/>
  <c r="C10" i="3"/>
  <c r="B10" i="3"/>
  <c r="J10" i="3" s="1"/>
  <c r="C9" i="3"/>
  <c r="B9" i="3"/>
  <c r="C8" i="3"/>
  <c r="B8" i="3"/>
  <c r="J8" i="3" s="1"/>
  <c r="F7" i="3"/>
  <c r="E7" i="3"/>
  <c r="D7" i="3"/>
  <c r="B3" i="3"/>
  <c r="E18" i="10"/>
  <c r="D18" i="10"/>
  <c r="C10" i="10"/>
  <c r="B10" i="10"/>
  <c r="C9" i="10"/>
  <c r="B9" i="10"/>
  <c r="C8" i="10"/>
  <c r="B8" i="10"/>
  <c r="E7" i="10"/>
  <c r="D7" i="10"/>
  <c r="B3" i="10"/>
  <c r="D18" i="11"/>
  <c r="D23" i="11" s="1"/>
  <c r="C10" i="11"/>
  <c r="B10" i="11"/>
  <c r="C9" i="11"/>
  <c r="B9" i="11"/>
  <c r="H9" i="11" s="1"/>
  <c r="C8" i="11"/>
  <c r="B8" i="11"/>
  <c r="H8" i="11" s="1"/>
  <c r="D7" i="11"/>
  <c r="B3" i="11"/>
  <c r="F20" i="11"/>
  <c r="K18" i="11"/>
  <c r="D21" i="11"/>
  <c r="D20" i="11"/>
  <c r="D19" i="11"/>
  <c r="F11" i="11"/>
  <c r="E11" i="11"/>
  <c r="D11" i="11"/>
  <c r="G10" i="11"/>
  <c r="H10" i="11"/>
  <c r="G9" i="11"/>
  <c r="G8" i="11"/>
  <c r="G23" i="10"/>
  <c r="G22" i="10"/>
  <c r="L19" i="10"/>
  <c r="L18" i="10"/>
  <c r="E21" i="10"/>
  <c r="D21" i="10"/>
  <c r="E20" i="10"/>
  <c r="D20" i="10"/>
  <c r="E19" i="10"/>
  <c r="D19" i="10"/>
  <c r="E23" i="10"/>
  <c r="D23" i="10"/>
  <c r="G11" i="10"/>
  <c r="F11" i="10"/>
  <c r="E11" i="10"/>
  <c r="D11" i="10"/>
  <c r="H10" i="10"/>
  <c r="I10" i="10"/>
  <c r="H9" i="10"/>
  <c r="I9" i="10"/>
  <c r="H8" i="10"/>
  <c r="I8" i="10"/>
  <c r="E19" i="3"/>
  <c r="F19" i="3"/>
  <c r="E20" i="3"/>
  <c r="F20" i="3"/>
  <c r="E21" i="3"/>
  <c r="F21" i="3"/>
  <c r="D20" i="3"/>
  <c r="D21" i="3"/>
  <c r="D19" i="3"/>
  <c r="J9" i="3"/>
  <c r="I8" i="3"/>
  <c r="E11" i="3"/>
  <c r="F11" i="3"/>
  <c r="G11" i="3"/>
  <c r="H11" i="3"/>
  <c r="D11" i="3"/>
  <c r="E23" i="3"/>
  <c r="D23" i="3"/>
  <c r="I9" i="3"/>
  <c r="I10" i="3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2" i="7"/>
  <c r="G23" i="57" l="1"/>
  <c r="E20" i="57"/>
  <c r="E21" i="57" s="1"/>
  <c r="D19" i="57"/>
  <c r="D21" i="57" s="1"/>
  <c r="H11" i="57"/>
  <c r="E20" i="58"/>
  <c r="E19" i="58"/>
  <c r="G23" i="58"/>
  <c r="H11" i="58"/>
  <c r="G11" i="59"/>
  <c r="G11" i="60"/>
  <c r="M126" i="61"/>
  <c r="G127" i="61"/>
  <c r="I127" i="61"/>
  <c r="G137" i="61"/>
  <c r="G138" i="61" s="1"/>
  <c r="F137" i="61"/>
  <c r="F138" i="61" s="1"/>
  <c r="I138" i="61"/>
  <c r="E127" i="61"/>
  <c r="E138" i="61" s="1"/>
  <c r="M125" i="61"/>
  <c r="M124" i="61"/>
  <c r="L127" i="61"/>
  <c r="J127" i="61"/>
  <c r="J138" i="61" s="1"/>
  <c r="H127" i="61"/>
  <c r="H138" i="61" s="1"/>
  <c r="D127" i="61"/>
  <c r="D138" i="61" s="1"/>
  <c r="D21" i="58"/>
  <c r="D21" i="60"/>
  <c r="K5" i="60" s="1"/>
  <c r="D21" i="59"/>
  <c r="K5" i="59" s="1"/>
  <c r="E22" i="56"/>
  <c r="M5" i="56" s="1"/>
  <c r="L5" i="56"/>
  <c r="M5" i="55"/>
  <c r="O5" i="55"/>
  <c r="E22" i="54"/>
  <c r="M5" i="54"/>
  <c r="L5" i="54"/>
  <c r="O5" i="53"/>
  <c r="N5" i="53"/>
  <c r="M5" i="53"/>
  <c r="D22" i="52"/>
  <c r="E22" i="52"/>
  <c r="M5" i="52"/>
  <c r="L5" i="52"/>
  <c r="D22" i="51"/>
  <c r="M5" i="51" s="1"/>
  <c r="E22" i="50"/>
  <c r="M5" i="50"/>
  <c r="L5" i="50"/>
  <c r="M5" i="49"/>
  <c r="L5" i="49"/>
  <c r="D22" i="48"/>
  <c r="K5" i="48" s="1"/>
  <c r="D22" i="47"/>
  <c r="K5" i="47" s="1"/>
  <c r="D22" i="46"/>
  <c r="M5" i="46"/>
  <c r="O5" i="46"/>
  <c r="N5" i="46"/>
  <c r="D22" i="45"/>
  <c r="K5" i="45" s="1"/>
  <c r="M5" i="44"/>
  <c r="L5" i="44"/>
  <c r="M5" i="43"/>
  <c r="L5" i="43"/>
  <c r="D22" i="42"/>
  <c r="M5" i="42" s="1"/>
  <c r="D22" i="41"/>
  <c r="K5" i="41" s="1"/>
  <c r="M5" i="40"/>
  <c r="L5" i="40"/>
  <c r="D22" i="39"/>
  <c r="K5" i="39" s="1"/>
  <c r="E22" i="38"/>
  <c r="M5" i="38"/>
  <c r="L5" i="38"/>
  <c r="D22" i="37"/>
  <c r="L5" i="37" s="1"/>
  <c r="E22" i="37"/>
  <c r="M5" i="36"/>
  <c r="L5" i="36"/>
  <c r="D22" i="35"/>
  <c r="M5" i="35"/>
  <c r="L5" i="35"/>
  <c r="D22" i="34"/>
  <c r="M5" i="34" s="1"/>
  <c r="E22" i="34"/>
  <c r="D22" i="33"/>
  <c r="K5" i="33" s="1"/>
  <c r="F22" i="32"/>
  <c r="N5" i="32" s="1"/>
  <c r="O5" i="32"/>
  <c r="E22" i="31"/>
  <c r="M5" i="31" s="1"/>
  <c r="D22" i="30"/>
  <c r="M5" i="30"/>
  <c r="L5" i="30"/>
  <c r="D22" i="29"/>
  <c r="M5" i="29" s="1"/>
  <c r="E22" i="29"/>
  <c r="M5" i="28"/>
  <c r="L5" i="28"/>
  <c r="D22" i="27"/>
  <c r="K5" i="27" s="1"/>
  <c r="D22" i="26"/>
  <c r="K5" i="26" s="1"/>
  <c r="E22" i="25"/>
  <c r="O5" i="25" s="1"/>
  <c r="G11" i="11"/>
  <c r="D22" i="11"/>
  <c r="K5" i="11" s="1"/>
  <c r="E22" i="10"/>
  <c r="H11" i="10"/>
  <c r="D22" i="10"/>
  <c r="M5" i="10" s="1"/>
  <c r="H25" i="3"/>
  <c r="E22" i="3"/>
  <c r="D22" i="3"/>
  <c r="F22" i="3"/>
  <c r="I11" i="3"/>
  <c r="M5" i="57" l="1"/>
  <c r="E21" i="58"/>
  <c r="L5" i="58" s="1"/>
  <c r="G151" i="61"/>
  <c r="G150" i="61"/>
  <c r="G149" i="61"/>
  <c r="G148" i="61"/>
  <c r="G147" i="61"/>
  <c r="G146" i="61"/>
  <c r="G145" i="61"/>
  <c r="M127" i="61"/>
  <c r="L5" i="57"/>
  <c r="L5" i="51"/>
  <c r="L5" i="42"/>
  <c r="M5" i="37"/>
  <c r="L5" i="34"/>
  <c r="M5" i="32"/>
  <c r="L5" i="31"/>
  <c r="L5" i="29"/>
  <c r="M5" i="25"/>
  <c r="N5" i="25"/>
  <c r="L5" i="10"/>
  <c r="O5" i="3"/>
  <c r="M21" i="3" s="1"/>
  <c r="N5" i="3"/>
  <c r="M19" i="3" s="1"/>
  <c r="M5" i="3"/>
  <c r="M18" i="3" s="1"/>
  <c r="M5" i="58" l="1"/>
  <c r="B153" i="61"/>
  <c r="H24" i="3"/>
</calcChain>
</file>

<file path=xl/sharedStrings.xml><?xml version="1.0" encoding="utf-8"?>
<sst xmlns="http://schemas.openxmlformats.org/spreadsheetml/2006/main" count="3313" uniqueCount="889">
  <si>
    <t>TVC = Taxa percentual do total de votos do(a) candidato (a);</t>
  </si>
  <si>
    <t>VDo = Número de votos recebidos pelo(a) candidato(a) na urna de docentes;</t>
  </si>
  <si>
    <t>VTa  =  Número  de  votos  recebidos  pelo(a)  candidato(a)  na  urna de  técnicos administrativos em Educação;</t>
  </si>
  <si>
    <t>VDi= Número de votos recebidos pelo candidato(a) na urna de discentes;</t>
  </si>
  <si>
    <t>TVC = [(1/3 x (VDo/NDo)) + (1/3 x (VTa/NTa)) + (1/3 x (VDi/NDi))] x 100</t>
  </si>
  <si>
    <t>NDo = Número de docentes aptos a votar;</t>
  </si>
  <si>
    <t>NTa = Número de técnicos administrativos em educação aptos a votar;</t>
  </si>
  <si>
    <t>NDi = Número de discentes aptos a votar</t>
  </si>
  <si>
    <t>TVC = [(2/3 x (VDo+ VTa)/(NDo+ NTa)) + (1/3 x (VDi/NDi))] x 100</t>
  </si>
  <si>
    <t>NDo = Número de docentes que votaram;</t>
  </si>
  <si>
    <t>NTa = Número de técnicos administrativos em educação que votaram;</t>
  </si>
  <si>
    <t>NDi = Número de discentes que votaram</t>
  </si>
  <si>
    <t>Cálculo da Taxa percentual do total de votos do(a) candidato (a) - TVC:</t>
  </si>
  <si>
    <t>Conforme Portaria nº 3254 de 08 de setembro de 2020, alterada pela Portaria nº 3452 de 28 de setembro de 2020, no caso dos câmpus avançados, será utilizada a seguinte fórmula</t>
  </si>
  <si>
    <t>Urna</t>
  </si>
  <si>
    <t xml:space="preserve"> Descrição </t>
  </si>
  <si>
    <t>Campus</t>
  </si>
  <si>
    <t xml:space="preserve"> Púbico </t>
  </si>
  <si>
    <t xml:space="preserve"> Nome Abreviado </t>
  </si>
  <si>
    <t>Nome</t>
  </si>
  <si>
    <t>Desrição</t>
  </si>
  <si>
    <t>Endereço de Email para Ajuda</t>
  </si>
  <si>
    <t>Votação começa em</t>
  </si>
  <si>
    <t>Votação termina em</t>
  </si>
  <si>
    <t>Titulo Questão 1</t>
  </si>
  <si>
    <t>Respostas Questão 1</t>
  </si>
  <si>
    <t>Titulo Questão 2</t>
  </si>
  <si>
    <t>Respostas Questão 2</t>
  </si>
  <si>
    <t>Arquivo</t>
  </si>
  <si>
    <t>Docentes</t>
  </si>
  <si>
    <t>13/10/2020 às 12h00</t>
  </si>
  <si>
    <t>14/10/2020 às 12h00</t>
  </si>
  <si>
    <t>Urna 001</t>
  </si>
  <si>
    <t>Docentes do Câmpus Araraquara</t>
  </si>
  <si>
    <t>AQ - ARQ</t>
  </si>
  <si>
    <t>urna_001_arq_do</t>
  </si>
  <si>
    <t>Eleições 2020 - Docentes (ARQ)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</si>
  <si>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Araraquara.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</si>
  <si>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comissaoeleitoral.arq@ifsp.edu.br</t>
  </si>
  <si>
    <t>Escolha o candidato a Reitor do IFSP que deseja votar:</t>
  </si>
  <si>
    <t>1. Antônio Augusto Teixeira Pinto de Moraes (Antônio) (https://www.ifsp.edu.br/component/content/article/1819);
2. Carlos Frajuca (Frajuca) (https://www.ifsp.edu.br/component/content/article/1820);
3. Edson d'Ávila (d'Ávila) (https://www.ifsp.edu.br/component/content/article/1821);
4. Elaine Inácio Bueno (Elaininha) (https://www.ifsp.edu.br/component/content/article/1822);
5. Maurício França Silva (Prof. França) (https://www.ifsp.edu.br/component/content/article/1823);
6. Rovílson Dias da Silva (Rovílson) (https://www.ifsp.edu.br/component/content/article/1824);
7. Silmário Batista dos Santos (Professor Silmário) (https://www.ifsp.edu.br/component/content/article/1825);
8. Wilson de Andrade Matos (Wilson Matos) (https://www.ifsp.edu.br/component/content/article/1826);
9. Branco;
10. Nulo;</t>
  </si>
  <si>
    <t>Escolha o candidato para Diretor de Câmpus que deseja votar:</t>
  </si>
  <si>
    <t>1. Ednilson Geraldo Rossi (Ednilson Rossi) (https://www.arq.ifsp.edu.br/component/content/article/1459);
2. Fábio José Justo dos Santos (Fábio Justo) (https://www.arq.ifsp.edu.br/component/content/article/1460);
3. Josilda Maria Belther (Profa. Josilda) (https://www.arq.ifsp.edu.br/component/content/article/1458);
4. Branco;
5. Nulo;</t>
  </si>
  <si>
    <t>Urna 002</t>
  </si>
  <si>
    <t>Discentes do Câmpus Araraquara</t>
  </si>
  <si>
    <t>Discentes</t>
  </si>
  <si>
    <t>urna_002_arq_di</t>
  </si>
  <si>
    <t>Eleições 2020 - Dicentes (ARQ)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</si>
  <si>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Araraquara.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</si>
  <si>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003</t>
  </si>
  <si>
    <t>Técnicos Administrativos do Câmpus Araraquara</t>
  </si>
  <si>
    <t>Técnicos Administrativos</t>
  </si>
  <si>
    <t>urna_003_arq_te</t>
  </si>
  <si>
    <t>Eleições 2020 - Técnicos Administrativos (ARQ)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</si>
  <si>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Araraquara.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</si>
  <si>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004</t>
  </si>
  <si>
    <t>Docentes do Câmpus Avaré</t>
  </si>
  <si>
    <t>AV - AVR</t>
  </si>
  <si>
    <t>urna_004_avr_do</t>
  </si>
  <si>
    <t>Eleições 2020 - Docentes (AVR)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</si>
  <si>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Avaré.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</si>
  <si>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avr.eleicoes2020@ifsp.edu.br</t>
  </si>
  <si>
    <t>1. Sebastião Francelino da Cruz (Sebastião) (https://avr.ifsp.edu.br/index.php/ultimas-noticias/659-aberto-prazo-de-candidatura-para-reitor-e-diretores-gerais);
2. Branco;
3. Nulo;</t>
  </si>
  <si>
    <t>Urna 005</t>
  </si>
  <si>
    <t>Discentes do Câmpus Avaré</t>
  </si>
  <si>
    <t>urna_005_avr_di</t>
  </si>
  <si>
    <t>Eleições 2020 - Dicentes (AVR)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</si>
  <si>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Avaré.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</si>
  <si>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006</t>
  </si>
  <si>
    <t>Técnicos Administrativos do Câmpus Avaré</t>
  </si>
  <si>
    <t>urna_006_avr_te</t>
  </si>
  <si>
    <t>Eleições 2020 - Técnicos Administrativos (AVR)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</si>
  <si>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Avaré.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</si>
  <si>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007</t>
  </si>
  <si>
    <t>Docentes do Câmpus Barretos</t>
  </si>
  <si>
    <t>BA - BRT</t>
  </si>
  <si>
    <t>urna_007_brt_do</t>
  </si>
  <si>
    <t>Eleições 2020 - Docentes (BRT)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</si>
  <si>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Barretos.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</si>
  <si>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brt.eleicoes2020@ifsp.edu.br</t>
  </si>
  <si>
    <t>1. Juliana de Carvalho Pimenta (Juliana Pimenta) (https://brt.ifsp.edu.br/eleicoes2020?id=569);
2. Branco;
3. Nulo;</t>
  </si>
  <si>
    <t>Urna 008</t>
  </si>
  <si>
    <t>Discentes do Câmpus Barretos</t>
  </si>
  <si>
    <t>urna_008_brt_di</t>
  </si>
  <si>
    <t>Eleições 2020 - Dicentes (BRT)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</si>
  <si>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 Barretos. 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</si>
  <si>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009</t>
  </si>
  <si>
    <t>Técnicos Administrativos do Câmpus Barretos</t>
  </si>
  <si>
    <t>urna_009_brt_te</t>
  </si>
  <si>
    <t>Eleições 2020 - Técnicos Administrativos (BRT)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</si>
  <si>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 Barretos.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</si>
  <si>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010</t>
  </si>
  <si>
    <t>Docentes do Câmpus Birigui</t>
  </si>
  <si>
    <t>BI - BRI</t>
  </si>
  <si>
    <t>urna_010_bri_do</t>
  </si>
  <si>
    <t>Eleições 2020 - Docentes (BRI)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</si>
  <si>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Birigui.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</si>
  <si>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cel.bri@ifsp.edu.br</t>
  </si>
  <si>
    <t>1. Deidimar Alves Brissi (Deidimar) (https://drive.ifsp.edu.br/s/bEAAqQmHJAr17bO#pdfviewer);
2. Edmar César da Silva (Edmar) (https://drive.ifsp.edu.br/s/cOmSkWcIboufM15#pdfviewer);
3. Branco;
4. Nulo;</t>
  </si>
  <si>
    <t>Urna 011</t>
  </si>
  <si>
    <t>Discentes do Câmpus Birigui</t>
  </si>
  <si>
    <t>urna_011_bri_di</t>
  </si>
  <si>
    <t>Eleições 2020 - Dicentes (BRI)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</si>
  <si>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Birigui.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</si>
  <si>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012</t>
  </si>
  <si>
    <t>Técnicos Administrativos do Câmpus Birigui</t>
  </si>
  <si>
    <t>urna_012_bri_te</t>
  </si>
  <si>
    <t>Eleições 2020 - Técnicos Administrativos (BRI)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</si>
  <si>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Birigui.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</si>
  <si>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013</t>
  </si>
  <si>
    <t>Docentes do Câmpus Boituva</t>
  </si>
  <si>
    <t>BT - BTV</t>
  </si>
  <si>
    <t>urna_013_btv_do</t>
  </si>
  <si>
    <t>Eleições 2020 - Docentes (BTV)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</si>
  <si>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Boituva.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</si>
  <si>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comissaoeleitoral.btv@ifsp.edu.br</t>
  </si>
  <si>
    <t>1. Felipe Ferreira de Almeida (Professor Felipe Almeida) (https://btv.ifsp.edu.br/index.php/component/content/article/17-ultimas-noticias/3125-publicacao-dos-planos-de-gestao-dos-candidatos-a-direcao-geral-do-campus-boituva);
2. Lívia Pereira de Paula (Lívia de Paula) (https://btv.ifsp.edu.br/index.php/component/content/article/17-ultimas-noticias/3125-publicacao-dos-planos-de-gestao-dos-candidatos-a-direcao-geral-do-campus-boituva);
3. Branco;
4. Nulo;</t>
  </si>
  <si>
    <t>Urna 014</t>
  </si>
  <si>
    <t>Discentes do Câmpus Boituva</t>
  </si>
  <si>
    <t>urna_014_btv_di</t>
  </si>
  <si>
    <t>Eleições 2020 - Dicentes (BTV)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</si>
  <si>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Boituva.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</si>
  <si>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015</t>
  </si>
  <si>
    <t>Técnicos Administrativos do Câmpus Boituva</t>
  </si>
  <si>
    <t>urna_015_btv_te</t>
  </si>
  <si>
    <t>Eleições 2020 - Técnicos Administrativos (BTV)</t>
  </si>
  <si>
    <t>Urna 016</t>
  </si>
  <si>
    <t>Docentes do Câmpus Bragança Paulista</t>
  </si>
  <si>
    <t>BP - BRA</t>
  </si>
  <si>
    <t>urna_016_bra_do</t>
  </si>
  <si>
    <t>Eleições 2020 - Docentes (BRA)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</si>
  <si>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Bragança Paulista.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</si>
  <si>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eleitoral.bra@ifsp.edu.br</t>
  </si>
  <si>
    <t>1. João Roberto Moro (João Moro) (https://bra.ifsp.edu.br/phocadownload/Comissoes/ComissaoEleitoralLocal/2020/Plano-de-Gestao-Joao-Moro.pdf);
2. Orlando Leonardo Berenguel (Orlando Berenguel) (https://bra.ifsp.edu.br/artigo/2379);
3. Branco;
4. Nulo;</t>
  </si>
  <si>
    <t>Urna 017</t>
  </si>
  <si>
    <t>Discentes do Câmpus Bragança Paulista</t>
  </si>
  <si>
    <t>urna_017_bra_di</t>
  </si>
  <si>
    <t>Eleições 2020 - Dicentes (BRA)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</si>
  <si>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Bragança Paulista.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</si>
  <si>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018</t>
  </si>
  <si>
    <t>Técnicos Administrativos do Câmpus Bragança Paulista</t>
  </si>
  <si>
    <t>urna_018_bra_te</t>
  </si>
  <si>
    <t>Eleições 2020 - Técnicos Administrativos (BRA)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</si>
  <si>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Bragança Paulista.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</si>
  <si>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019</t>
  </si>
  <si>
    <t>Docentes do Câmpus Campinas</t>
  </si>
  <si>
    <t>CP - CMP</t>
  </si>
  <si>
    <t>urna_019_cmp_do</t>
  </si>
  <si>
    <t>Eleições 2020 - Docentes (CMP)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</si>
  <si>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Campinas.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</si>
  <si>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cel.campinas2020@ifsp.edu.br</t>
  </si>
  <si>
    <t>1. Eberval Oliveira Castro (https://portal.cmp.ifsp.edu.br/index.php/component/content/article/66-noticias/2127-eleicoes-para-reitor-e-diretor-geral-do-ifsp-2021-2025-planos-de-gestao-atualizados-2);
2. Éder José Costa Sacconi (https://portal.cmp.ifsp.edu.br/index.php/component/content/article/66-noticias/2127-eleicoes-para-reitor-e-diretor-geral-do-ifsp-2021-2025-planos-de-gestao-atualizados-2);
3. Branco;
4. Nulo;</t>
  </si>
  <si>
    <t>Urna 020</t>
  </si>
  <si>
    <t>Discentes do Câmpus Campinas</t>
  </si>
  <si>
    <t>urna_020_cmp_di</t>
  </si>
  <si>
    <t>Eleições 2020 - Dicentes (CMP)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</si>
  <si>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Campinas.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</si>
  <si>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021</t>
  </si>
  <si>
    <t>Técnicos Administrativos do Câmpus Campinas</t>
  </si>
  <si>
    <t>urna_021_cmp_te</t>
  </si>
  <si>
    <t>Eleições 2020 - Técnicos Administrativos (CMP)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</si>
  <si>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Campinas.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</si>
  <si>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022</t>
  </si>
  <si>
    <t>Docentes do Câmpus Campos do Jordão</t>
  </si>
  <si>
    <t>CJ - CJO</t>
  </si>
  <si>
    <t>urna_022_cjo_do</t>
  </si>
  <si>
    <t>Eleições 2020 - Docentes (CJO)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</si>
  <si>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Campos do Jordão.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</si>
  <si>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comissaoeleitoral.cjo@ifsp.edu.br</t>
  </si>
  <si>
    <t>1. Luciano Wanderley Mano Sanches (Luciano Sanches) (https://www.ifspcjo.edu.br/comissao-eleitoral-local-2020/1865-luciano-sanches);
2. Maria Madalena de Souza Santos (Madalena) (https://www.ifspcjo.edu.br/comissao-eleitoral-local-2020/1866-madalena);
3. Walter Luiz Andrade de Oliveira (Walter Oliveira) (https://www.ifspcjo.edu.br/comissao-eleitoral-local-2020/1867-walter-oliveira);
4. Branco;
5. Nulo;</t>
  </si>
  <si>
    <t>Urna 023</t>
  </si>
  <si>
    <t>Discentes do Câmpus Campos do Jordão</t>
  </si>
  <si>
    <t>urna_023_cjo_di</t>
  </si>
  <si>
    <t>Eleições 2020 - Dicentes (CJO)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</si>
  <si>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Campos do Jordão.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</si>
  <si>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024</t>
  </si>
  <si>
    <t>Técnicos Administrativos do Câmpus Campos do Jordão</t>
  </si>
  <si>
    <t>urna_024_cjo_te</t>
  </si>
  <si>
    <t>Eleições 2020 - Técnicos Administrativos (CJO)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</si>
  <si>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Campos do Jordão.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</si>
  <si>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025</t>
  </si>
  <si>
    <t>Docentes do Câmpus Capivari</t>
  </si>
  <si>
    <t>CV - CPV</t>
  </si>
  <si>
    <t>urna_025_cpv_do</t>
  </si>
  <si>
    <t>Eleições 2020 - Docentes (CPV)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</si>
  <si>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Capivari.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</si>
  <si>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eleicoes.cpv2020@ifsp.edu.br</t>
  </si>
  <si>
    <t>1. Letícia Pedroso Ramos (https://drive.ifsp.edu.br/s/Z0834pBQ7LnP8q1#pdfviewer);
2. Branco;
3. Nulo;</t>
  </si>
  <si>
    <t>Urna 026</t>
  </si>
  <si>
    <t>Discentes do Câmpus Capivari</t>
  </si>
  <si>
    <t>urna_026_cpv_di</t>
  </si>
  <si>
    <t>Eleições 2020 - Dicentes (CPV)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</si>
  <si>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Capivari.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</si>
  <si>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027</t>
  </si>
  <si>
    <t>Técnicos Administrativos do Câmpus Capivari</t>
  </si>
  <si>
    <t>urna_027_cpv_te</t>
  </si>
  <si>
    <t>Eleições 2020 - Técnicos Administrativos (CPV)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</si>
  <si>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Capivari.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</si>
  <si>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028</t>
  </si>
  <si>
    <t>Docentes do Câmpus Caraguatatuba</t>
  </si>
  <si>
    <t>CG - CAR</t>
  </si>
  <si>
    <t>urna_028_car_do</t>
  </si>
  <si>
    <t>Eleições 2020 - Docentes (CAR)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</si>
  <si>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Caraguatatuba.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</si>
  <si>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car.cel2020@ifsp.edu.br</t>
  </si>
  <si>
    <t>1. Juliana Barbara Moraes (Juliana Bárbara) (https://ifspcaraguatatuba.edu.br/eleicao-diretor-2020/juliana-barbara-moraes);
2. Leandro César de Lorena Peixoto (Leandro Peixoto) (https://ifspcaraguatatuba.edu.br/eleicao-diretor-2020/leandro-de-lorena-peixoto);
3. Branco;
4. Nulo;</t>
  </si>
  <si>
    <t>Urna 029</t>
  </si>
  <si>
    <t>Discentes do Câmpus Caraguatatuba</t>
  </si>
  <si>
    <t>urna_029_car_di</t>
  </si>
  <si>
    <t>Eleições 2020 - Dicentes (CAR)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</si>
  <si>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Caraguatatuba.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</si>
  <si>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030</t>
  </si>
  <si>
    <t>Técnicos Administrativos do Câmpus Caraguatatuba</t>
  </si>
  <si>
    <t>urna_030_car_te</t>
  </si>
  <si>
    <t>Eleições 2020 - Técnicos Administrativos (CAR)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</si>
  <si>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Catanduva.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</si>
  <si>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031</t>
  </si>
  <si>
    <t>Docentes do Câmpus Catanduva</t>
  </si>
  <si>
    <t>CT - CTD</t>
  </si>
  <si>
    <t>urna_031_ctd_do</t>
  </si>
  <si>
    <t>Eleições 2020 - Docentes (CTD)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</si>
  <si>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Catanduva.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</si>
  <si>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ctd.eleicoes2020@ifsp.edu.br</t>
  </si>
  <si>
    <t>1. Daniel Corrêa Lobato (Daniel Lobato) (https://ctd.ifsp.edu.br/component/content/article?id=1083);
2. Marcelo Velloso Heeren (Marcelo Heeren) (https://ctd.ifsp.edu.br/component/content/article?id=1083);
3. Branco;
4. Nulo;</t>
  </si>
  <si>
    <t>Urna 032</t>
  </si>
  <si>
    <t>Discentes do Câmpus Catanduva</t>
  </si>
  <si>
    <t>urna_032_ctd_di</t>
  </si>
  <si>
    <t>Eleições 2020 - Dicentes (CTD)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</si>
  <si>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Catanduva.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</si>
  <si>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033</t>
  </si>
  <si>
    <t>Técnicos Administrativos do Câmpus Catanduva</t>
  </si>
  <si>
    <t>urna_033_ctd_te</t>
  </si>
  <si>
    <t>Eleições 2020 - Técnicos Administrativos (CTD)</t>
  </si>
  <si>
    <t>Urna 034</t>
  </si>
  <si>
    <t>Docentes do Câmpus Cubatão</t>
  </si>
  <si>
    <t>CB - CBT</t>
  </si>
  <si>
    <t>urna_034_cbt_do</t>
  </si>
  <si>
    <t>Eleições 2020 - Docentes (CBT)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</si>
  <si>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Cubatão.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</si>
  <si>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cbt.eleicoes2020@ifsp.edu.br</t>
  </si>
  <si>
    <t>1. Artarxerxes Tiago Tácito Modesto (Xerxes) (https://cbt.ifsp.edu.br/cbt/index.php/component/content/article/2-uncategorised/1443-artarxerxes-tiago-tacito-modesto-xerxes-2);
2. Elaine Cristina Araujo (https://cbt.ifsp.edu.br/cbt/index.php/component/content/article/2-uncategorised/1444-elaine-cristina-araujo-elaine-cristina-araujo-2);
3. Branco;
4. Nulo;</t>
  </si>
  <si>
    <t>Urna 035</t>
  </si>
  <si>
    <t>Discentes do Câmpus Cubatão</t>
  </si>
  <si>
    <t>urna_035_cbt_di</t>
  </si>
  <si>
    <t>Eleições 2020 - Dicentes (CBT)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</si>
  <si>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Cubatão.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</si>
  <si>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036</t>
  </si>
  <si>
    <t>Técnicos Administrativos do Câmpus Cubatão</t>
  </si>
  <si>
    <t>urna_036_cbt_te</t>
  </si>
  <si>
    <t>Eleições 2020 - Técnicos Administrativos (CBT)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</si>
  <si>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Cubatão.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</si>
  <si>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037</t>
  </si>
  <si>
    <t>Docentes do Câmpus Guarulhos</t>
  </si>
  <si>
    <t>GU - GRU</t>
  </si>
  <si>
    <t>urna_037_gru_do</t>
  </si>
  <si>
    <t>Eleições 2020 - Docentes (GRU)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</si>
  <si>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Guarulhos.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</si>
  <si>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comissaoeleitoralgru@ifsp.edu.br</t>
  </si>
  <si>
    <t>1. Joel Dias Saade (Joel Saade) (http://gru.ifsp.edu.br/index.php/elei%C3%A7%C3%B5es-2020-diretoria-e-reitoria.html?id=1326:professor-joel-dias-saade);
2. Ricardo Agostinho de Rezende Júnior (Agostinho) (http://gru.ifsp.edu.br/index.php/elei%C3%A7%C3%B5es-2020-diretoria-e-reitoria.html?id=1322:professor-ricardo-agostinho-de-rezende-j%C3%BAnior);
3. Branco;
4. Nulo;</t>
  </si>
  <si>
    <t>Urna 038</t>
  </si>
  <si>
    <t>Discentes do Câmpus Guarulhos</t>
  </si>
  <si>
    <t>urna_038_gru_di</t>
  </si>
  <si>
    <t>Eleições 2020 - Dicentes (GRU)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</si>
  <si>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Guarulhos.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</si>
  <si>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039</t>
  </si>
  <si>
    <t>Técnicos Administrativos do Câmpus Guarulhos</t>
  </si>
  <si>
    <t>urna_039_gru_te</t>
  </si>
  <si>
    <t>Eleições 2020 - Técnicos Administrativos (GRU)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</si>
  <si>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Guarulhos.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</si>
  <si>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040</t>
  </si>
  <si>
    <t>Docentes do Câmpus Hortolândia</t>
  </si>
  <si>
    <t>HT - HTO</t>
  </si>
  <si>
    <t>urna_040_hto_do</t>
  </si>
  <si>
    <t>Eleições 2020 - Docentes (HTO)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</si>
  <si>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Hortolândia.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</si>
  <si>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cel.hto.2021@ifsp.edu.br</t>
  </si>
  <si>
    <t>1. Caroline Felipe Jango da Silva (Caroline Jango) (http://hto.ifsp.edu.br/institucional/index.php?option=com_content&amp;view=article&amp;layout=edit&amp;id=574);
2. Isaias Mendes de Oliveira (Isaias Mendes) (http://hto.ifsp.edu.br/institucional/index.php?option=com_content&amp;view=article&amp;layout=edit&amp;id=575);
3. Branco;
4. Nulo;</t>
  </si>
  <si>
    <t>Urna 041</t>
  </si>
  <si>
    <t>Discentes do Câmpus Hortolândia</t>
  </si>
  <si>
    <t>urna_041_hto_di</t>
  </si>
  <si>
    <t>Eleições 2020 - Dicentes (HTO)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</si>
  <si>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Hortolândia.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</si>
  <si>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042</t>
  </si>
  <si>
    <t>Técnicos Administrativos do Câmpus Hortolândia</t>
  </si>
  <si>
    <t>urna_042_hto_te</t>
  </si>
  <si>
    <t>Eleições 2020 - Técnicos Administrativos (HTO)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</si>
  <si>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Hortolândia.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</si>
  <si>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043</t>
  </si>
  <si>
    <t>Docentes do Câmpus Itapetininga</t>
  </si>
  <si>
    <t>IT - ITP</t>
  </si>
  <si>
    <t>urna_043_itp_do</t>
  </si>
  <si>
    <t>Eleições 2020 - Docentes (ITP)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</si>
  <si>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Itapetininga.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</si>
  <si>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cel.itp.eleicoes2020@ifsp.edu.br</t>
  </si>
  <si>
    <t>1. Ragnar Orlando Hammarstrom (Prof. Ragnar) (https://itp.ifsp.edu.br/index.php/component/content/article/17-ultimas-noticias/658-eleicoes-2020-proposta-de-gestao-prof-ragnar);
2. Branco;
3. Nulo;</t>
  </si>
  <si>
    <t>Urna 044</t>
  </si>
  <si>
    <t>Discentes do Câmpus Itapetininga</t>
  </si>
  <si>
    <t>urna_044_itp_di</t>
  </si>
  <si>
    <t>Eleições 2020 - Dicentes (ITP)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</si>
  <si>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Itapetininga.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</si>
  <si>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045</t>
  </si>
  <si>
    <t>Técnicos Administrativos do Câmpus Itapetininga</t>
  </si>
  <si>
    <t>urna_045_itp_te</t>
  </si>
  <si>
    <t>Eleições 2020 - Técnicos Administrativos (ITP)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</si>
  <si>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Itapetininga.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</si>
  <si>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046</t>
  </si>
  <si>
    <t>Docentes do Câmpus Itaquaquecetuba</t>
  </si>
  <si>
    <t>IQ - ITQ</t>
  </si>
  <si>
    <t>urna_046_itq_do</t>
  </si>
  <si>
    <t>Eleições 2020 - Docentes (ITQ)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</si>
  <si>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Itaquaquecetuba.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</si>
  <si>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cel2020.itq@ifsp.edu.br</t>
  </si>
  <si>
    <t>1. Anderson Alves Esteves (Anderson) (https://itq.ifsp.edu.br/index.php/component/content/article?id=839);
2. Aumir Antunes Graciano (Professor Aumir) (https://itq.ifsp.edu.br/index.php/component/content/article?id=840);
3. Branco;
4. Nulo;</t>
  </si>
  <si>
    <t>Urna 047</t>
  </si>
  <si>
    <t>Discentes do Câmpus Itaquaquecetuba</t>
  </si>
  <si>
    <t>urna_047_itq_di</t>
  </si>
  <si>
    <t>Eleições 2020 - Dicentes (ITQ)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</si>
  <si>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Itaquaquecetuba.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</si>
  <si>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048</t>
  </si>
  <si>
    <t>Técnicos Administrativos do Câmpus Itaquaquecetuba</t>
  </si>
  <si>
    <t>urna_048_itq_te</t>
  </si>
  <si>
    <t>Eleições 2020 - Técnicos Administrativos (ITQ)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</si>
  <si>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Itaquaquecetuba.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</si>
  <si>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049</t>
  </si>
  <si>
    <t>Docentes do Câmpus Jacareí</t>
  </si>
  <si>
    <t>JC - JCR</t>
  </si>
  <si>
    <t>urna_049_jcr_do</t>
  </si>
  <si>
    <t>Eleições 2020 - Docentes (JCR)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</si>
  <si>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Jacareí.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</si>
  <si>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cel-jcr.eleicoes2020@ifsp.edu.br</t>
  </si>
  <si>
    <t>1. Wagner Ferraz Castro (Wagner Castro) (https://jcr.ifsp.edu.br/index.php/component/content/article/17-ultimas-noticias/963-plano-de-gestao-wagner-castro-mandato-2021-2025);
2. Branco;
3. Nulo;</t>
  </si>
  <si>
    <t>Urna 050</t>
  </si>
  <si>
    <t>Discentes do Câmpus Jacareí</t>
  </si>
  <si>
    <t>urna_050_jcr_di</t>
  </si>
  <si>
    <t>Eleições 2020 - Dicentes (JCR)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</si>
  <si>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Jacareí.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</si>
  <si>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051</t>
  </si>
  <si>
    <t>Técnicos Administrativos do Câmpus Jacareí</t>
  </si>
  <si>
    <t>urna_051_jcr_te</t>
  </si>
  <si>
    <t>Eleições 2020 - Técnicos Administrativos (JCR)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</si>
  <si>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Jacareí.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</si>
  <si>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052</t>
  </si>
  <si>
    <t>Docentes do Câmpus Matão</t>
  </si>
  <si>
    <t>MT - MTO</t>
  </si>
  <si>
    <t>urna_052_mto_do</t>
  </si>
  <si>
    <t>Eleições 2020 - Docentes (MTO)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</si>
  <si>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Matão.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</si>
  <si>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cel.mto2020@ifsp.edu.br</t>
  </si>
  <si>
    <t>1. Alecio Rodrigues de Oliveira (Prof. Alecio) (http://mto.ifsp.edu.br/eleicoes-ifsp/114-eleicoes-2020/811-perfil-do-candidato-2020-prof-alecio);
2. Claudemir Mariotti Junior (Junior Mariotti) (http://mto.ifsp.edu.br/eleicoes-ifsp/114-eleicoes-2020/812-perfil-do-candidato-2020-junior-mariotti);
3. Branco;
4. Nulo;</t>
  </si>
  <si>
    <t>Urna 053</t>
  </si>
  <si>
    <t>Discentes do Câmpus Matão</t>
  </si>
  <si>
    <t>urna_053_mto_di</t>
  </si>
  <si>
    <t>Eleições 2020 - Dicentes (MTO)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</si>
  <si>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Matão.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</si>
  <si>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054</t>
  </si>
  <si>
    <t>Técnicos Administrativos do Câmpus Matão</t>
  </si>
  <si>
    <t>urna_054_mto_te</t>
  </si>
  <si>
    <t>Eleições 2020 - Técnicos Administrativos (MTO)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</si>
  <si>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Matão.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</si>
  <si>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055</t>
  </si>
  <si>
    <t>Docentes do Câmpus Piracicaba</t>
  </si>
  <si>
    <t>PC - PRC</t>
  </si>
  <si>
    <t>urna_055_prc_do</t>
  </si>
  <si>
    <t>Eleições 2020 - Docentes (PRC)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</si>
  <si>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Piracicaba.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</si>
  <si>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cel.prc.eleicoes2020@ifsp.edu.br</t>
  </si>
  <si>
    <t>1. Aguinaldo Luiz de Barros Lorandi (https://prc.ifsp.edu.br/index.php/comunicados/148-eleicoes-2020/2026-material-de-campanha-candidato-aguinaldo-l-b-lorandi);
2. Alexandre Silva (https://prc.ifsp.edu.br/index.php/comunicados/148-eleicoes-2020/2025-material-de-campanha-candidato-alexandre-silva);
3. Branco;
4. Nulo;</t>
  </si>
  <si>
    <t>Urna 056</t>
  </si>
  <si>
    <t>Discentes do Câmpus Piracicaba</t>
  </si>
  <si>
    <t>urna_056_prc_di</t>
  </si>
  <si>
    <t>Eleições 2020 - Dicentes (PRC)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</si>
  <si>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Piracicaba.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</si>
  <si>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057</t>
  </si>
  <si>
    <t>Técnicos Administrativos do Câmpus Piracicaba</t>
  </si>
  <si>
    <t>urna_057_prc_te</t>
  </si>
  <si>
    <t>Eleições 2020 - Técnicos Administrativos (PRC)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</si>
  <si>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Piracicaba.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</si>
  <si>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058</t>
  </si>
  <si>
    <t>Docentes do Câmpus São Paulo-Pirituba</t>
  </si>
  <si>
    <t>PT - PTB</t>
  </si>
  <si>
    <t>urna_058_ptb_do</t>
  </si>
  <si>
    <t>Eleições 2020 - Docentes (PTB)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</si>
  <si>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São Paulo - Pirituba.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</si>
  <si>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eleicao.ptb@ifsp.edu.br</t>
  </si>
  <si>
    <t>1. Alan Marques da Silva (Alan) (https://ptb.ifsp.edu.br/index.php/eleicoes);
2. Luciano Henrique Trindade (Luciano Trindade) (https://ptb.ifsp.edu.br/index.php/eleicoes);
3. Branco;
4. Nulo;</t>
  </si>
  <si>
    <t>Urna 059</t>
  </si>
  <si>
    <t>Discentes do Câmpus São Paulo-Pirituba</t>
  </si>
  <si>
    <t>urna_059_ptb_di</t>
  </si>
  <si>
    <t>Eleições 2020 - Dicentes (PTB)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</si>
  <si>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São Paulo - Pirituba.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</si>
  <si>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060</t>
  </si>
  <si>
    <t>Técnicos Administrativos do Câmpus São Paulo-Pirituba</t>
  </si>
  <si>
    <t>urna_060_ptb_te</t>
  </si>
  <si>
    <t>Eleições 2020 - Técnicos Administrativos (PTB)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</si>
  <si>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São Paulo - Pirituba.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</si>
  <si>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061</t>
  </si>
  <si>
    <t>Docentes do Câmpus Presidente Epitácio</t>
  </si>
  <si>
    <t>PE - PEP</t>
  </si>
  <si>
    <t>urna_061_pep_do</t>
  </si>
  <si>
    <t>Eleições 2020 - Docentes (PEP)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</si>
  <si>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Presidente Epitácio.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</si>
  <si>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comissao.eleitoral.pep@ifsp.edu.br</t>
  </si>
  <si>
    <t>1. Alexandre Ataide Carniato (https://pep.ifsp.edu.br/index.php/component/content/article?layout=edit&amp;id=1793);
2. Branco;
3. Nulo;</t>
  </si>
  <si>
    <t>Urna 062</t>
  </si>
  <si>
    <t>Discentes do Câmpus Presidente Epitácio</t>
  </si>
  <si>
    <t>urna_062_pep_di</t>
  </si>
  <si>
    <t>Eleições 2020 - Dicentes (PEP)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</si>
  <si>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Presidente Epitácio.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</si>
  <si>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063</t>
  </si>
  <si>
    <t>Técnicos Administrativos do Câmpus Presidente Epitácio</t>
  </si>
  <si>
    <t>urna_063_pep_te</t>
  </si>
  <si>
    <t>Eleições 2020 - Técnicos Administrativos (PEP)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</si>
  <si>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Presidente Epitácio.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</si>
  <si>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064</t>
  </si>
  <si>
    <t>Docentes do Câmpus Registro</t>
  </si>
  <si>
    <t>RG - RGT</t>
  </si>
  <si>
    <t>urna_064_rgt_do</t>
  </si>
  <si>
    <t>Eleições 2020 - Docentes (RGT)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</si>
  <si>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Registro.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</si>
  <si>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celrgt.2020@ifsp.edu.br</t>
  </si>
  <si>
    <t>1. Anibal Takeshiro Fukamati (Prof. Take) (https://rgt.ifsp.edu.br/portal/arquivos/2020/09/eleicoes/Proposta%20de%20Gest%C3%A3o%20-%20Anibal%20Takeshiro%20Fukamati%20(Prof%20Take).pdf);
2. José Roberto Herrera Cantorani (José Roberto Cantorani) (https://rgt.ifsp.edu.br/portal/arquivos/2020/09/eleicoes/Proposta%20de%20Gest%C3%A3o%20-%20Jos%C3%A9%20Roberto%20Herrera%20Cantorani%20(Jos%C3%A9%20Roberto%20Cantorani).pdf);
3. Ofélia Maria Marcondes (Prof. Ofélia) (https://rgt.ifsp.edu.br/portal/arquivos/2020/09/eleicoes/Proposta%20de%20Gest%C3%A3o%20-%20Of%C3%A9lia%20Maria%20Marcondes%20(Prof%20Of%C3%A9lia).pdf);
4. Branco;
5. Nulo;</t>
  </si>
  <si>
    <t>Urna 065</t>
  </si>
  <si>
    <t>Discentes do Câmpus Registro</t>
  </si>
  <si>
    <t>urna_065_rgt_di</t>
  </si>
  <si>
    <t>Eleições 2020 - Dicentes (RGT)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</si>
  <si>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Registro.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</si>
  <si>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066</t>
  </si>
  <si>
    <t>Técnicos Administrativos do Câmpus Registro</t>
  </si>
  <si>
    <t>urna_066_rgt_te</t>
  </si>
  <si>
    <t>Eleições 2020 - Técnicos Administrativos (RGT)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</si>
  <si>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Registro.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</si>
  <si>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067</t>
  </si>
  <si>
    <t>Docentes do Câmpus Salto</t>
  </si>
  <si>
    <t>SL -SLT</t>
  </si>
  <si>
    <t>urna_067_slt_do</t>
  </si>
  <si>
    <t>Eleições 2020 - Docentes (SLT)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</si>
  <si>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Salto.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</si>
  <si>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cel.salto@ifsp.edu.br</t>
  </si>
  <si>
    <t>1. Edilson Aparecido Bueno (Edilson) (https://slt.ifsp.edu.br/index.php/component/content/article/58-destaques/1090-aprovados-codigos-eleitorais-para-a-escolha-de-reitor-e-diretores-gerais);
2. Branco;
3. Nulo;</t>
  </si>
  <si>
    <t>Urna 068</t>
  </si>
  <si>
    <t>Discentes do Câmpus Salto</t>
  </si>
  <si>
    <t>urna_068_slt_di</t>
  </si>
  <si>
    <t>Eleições 2020 - Dicentes (SLT)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</si>
  <si>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Salto.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</si>
  <si>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069</t>
  </si>
  <si>
    <t>Técnicos Administrativos do Câmpus Salto</t>
  </si>
  <si>
    <t>urna_069_slt_te</t>
  </si>
  <si>
    <t>Eleições 2020 - Técnicos Administrativos (SLT)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</si>
  <si>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Salto.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</si>
  <si>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070</t>
  </si>
  <si>
    <t>Docentes do Câmpus São Carlos</t>
  </si>
  <si>
    <t>SC - SCL</t>
  </si>
  <si>
    <t>urna_070_scl_do</t>
  </si>
  <si>
    <t>Eleições 2020 - Docentes (SCL)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</si>
  <si>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São Carlos.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</si>
  <si>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cel.scl.eleicoes2020@ifsp.edu.br</t>
  </si>
  <si>
    <t>1. Rivelli da Silva Pinto (Professor Rivelli) (https://scl.ifsp.edu.br/index.php/component/content/article/17-noticias/944-proposta-de-gestao-eleicao-de-diretor-geral.html);
2. Branco;
3. Nulo;</t>
  </si>
  <si>
    <t>Urna 071</t>
  </si>
  <si>
    <t>Discentes do Câmpus São Carlos</t>
  </si>
  <si>
    <t>urna_071_scl_di</t>
  </si>
  <si>
    <t>Eleições 2020 - Dicentes (SCL)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</si>
  <si>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São Carlos.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</si>
  <si>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072</t>
  </si>
  <si>
    <t>Técnicos Administrativos do Câmpus São Carlos</t>
  </si>
  <si>
    <t>urna_072_scl_te</t>
  </si>
  <si>
    <t>Eleições 2020 - Técnicos Administrativos (SCL)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</si>
  <si>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São Carlos.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</si>
  <si>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073</t>
  </si>
  <si>
    <t>Docentes do Câmpus São João da Boa Vista</t>
  </si>
  <si>
    <t>BV - SBV</t>
  </si>
  <si>
    <t>urna_073_sbv_do</t>
  </si>
  <si>
    <t>Eleições 2020 - Docentes (SBV)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</si>
  <si>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São João da Boa Vista.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</si>
  <si>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comissaolocal2020.sbv@ifsp.edu.br</t>
  </si>
  <si>
    <t>1. Diego Cesar Valente e Silva (Diego Valente) (https://www.sbv.ifsp.edu.br/processo-eleitoral-2020);
2. Menoti Borri (Prof. Menoti) (https://www.sbv.ifsp.edu.br/processo-eleitoral-2020);
3. Branco;
4. Nulo;</t>
  </si>
  <si>
    <t>Urna 074</t>
  </si>
  <si>
    <t>Discentes do Câmpus São João da Boa Vista</t>
  </si>
  <si>
    <t>urna_074_sbv_di</t>
  </si>
  <si>
    <t>Eleições 2020 - Dicentes (SBV)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</si>
  <si>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São João da Boa Vista.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</si>
  <si>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075</t>
  </si>
  <si>
    <t>Técnicos Administrativos do Câmpus São João da Boa Vista</t>
  </si>
  <si>
    <t>urna_075_sbv_te</t>
  </si>
  <si>
    <t>Eleições 2020 - Técnicos Administrativos (SBV)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</si>
  <si>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São João da Boa Vista.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</si>
  <si>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076</t>
  </si>
  <si>
    <t>Docentes do Câmpus São José dos Campos</t>
  </si>
  <si>
    <t>SJ - SJC</t>
  </si>
  <si>
    <t>urna_076_sjc_do</t>
  </si>
  <si>
    <t>Eleições 2020 - Docentes (SJC)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</si>
  <si>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São José dos Campos.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</si>
  <si>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sjc.eleicoes2020@ifsp.edu.br</t>
  </si>
  <si>
    <t>1. Fernando Henrique Gomes de Souza (Fernando) (https://sjc.ifsp.edu.br/portal/index.php/ultimas-noticias/homologacao-dos-candidatos-a-drg-sjc);
2. Valdeci Donizete Gonçalves (Valdeci) (https://sjc.ifsp.edu.br/portal/index.php/ultimas-noticias/homologacao-dos-candidatos-a-drg-sjc);
3. Branco;
4. Nulo;</t>
  </si>
  <si>
    <t>Urna 077</t>
  </si>
  <si>
    <t>Discentes do Câmpus São José dos Campos</t>
  </si>
  <si>
    <t>urna_077_sjc_di</t>
  </si>
  <si>
    <t>Eleições 2020 - Dicentes (SJC)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</si>
  <si>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São José dos Campos.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</si>
  <si>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078</t>
  </si>
  <si>
    <t>Técnicos Administrativos do Câmpus São José dos Campos</t>
  </si>
  <si>
    <t>urna_078_sjc_te</t>
  </si>
  <si>
    <t>Eleições 2020 - Técnicos Administrativos (SJC)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</si>
  <si>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São José dos Campos.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</si>
  <si>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079</t>
  </si>
  <si>
    <t>Docentes do Câmpus São Paulo</t>
  </si>
  <si>
    <t>SP - SPO</t>
  </si>
  <si>
    <t>urna_079_spo_do</t>
  </si>
  <si>
    <t>Eleições 2020 - Docentes (SPO)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</si>
  <si>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São Paulo.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</si>
  <si>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spo.eleicoes2020@ifsp.edu.br</t>
  </si>
  <si>
    <t>1. Alberto Akio Shiga (Shiga) (https://spo.ifsp.edu.br/menu-institucional/78-menu-institucional-documentos-institucionais/2395-elei%C3%A7%C3%B5es-dire%C3%A7%C3%A3o-geral-2020-professor-alberto-akio-shiga);
2. Ricardo Rechi Aguiar (https://spo.ifsp.edu.br/menu-institucional/78-menu-institucional-documentos-institucionais/2396-elei%C3%A7%C3%B5es-dire%C3%A7%C3%A3o-geral-2020-professor-ricardo-rechi-aguiar);
3. Branco;
4. Nulo;</t>
  </si>
  <si>
    <t>Urna 080</t>
  </si>
  <si>
    <t>Discentes do Câmpus São Paulo</t>
  </si>
  <si>
    <t>urna_080_spo_di</t>
  </si>
  <si>
    <t>Eleições 2020 - Dicentes (SPO)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</si>
  <si>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São Paulo.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</si>
  <si>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081</t>
  </si>
  <si>
    <t>Técnicos Administrativos do Câmpus São Paulo</t>
  </si>
  <si>
    <t>urna_081_spo_ti</t>
  </si>
  <si>
    <t>Eleições 2020 - Técnicos Administrativos (SPO)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</si>
  <si>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São Paulo.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</si>
  <si>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082</t>
  </si>
  <si>
    <t>Docentes do Câmpus São Roque</t>
  </si>
  <si>
    <t>RQ - SRQ</t>
  </si>
  <si>
    <t>urna_082_srq_do</t>
  </si>
  <si>
    <t>Eleições 2020 - Docentes (SRQ)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</si>
  <si>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São Roque.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</si>
  <si>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srq.eleicoes2020@ifsp.edu.br</t>
  </si>
  <si>
    <t>1. Alequexandre Galvez de Andrade (http://srq.ifsp.edu.br/index.php/component/content/article?id=987#alequexandre-galvez-de-andrade);
2. Frank Viana de Carvalho (http://srq.ifsp.edu.br/index.php/component/content/article?id=987#frank-viana-de-carvalho);
3. Branco;
4. Nulo;</t>
  </si>
  <si>
    <t>Urna 083</t>
  </si>
  <si>
    <t>Discentes do Câmpus São Roque</t>
  </si>
  <si>
    <t>urna_083_srq_di</t>
  </si>
  <si>
    <t>Eleições 2020 - Dicentes (SRQ)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</si>
  <si>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São Roque.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</si>
  <si>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084</t>
  </si>
  <si>
    <t>Técnicos Administrativos do Câmpus São Roque</t>
  </si>
  <si>
    <t>urna_084_srq_te</t>
  </si>
  <si>
    <t>Eleições 2020 - Técnicos Administrativos (SRQ)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</si>
  <si>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São Roque.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</si>
  <si>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085</t>
  </si>
  <si>
    <t>Docentes do Câmpus Sertãozinho</t>
  </si>
  <si>
    <t>ST - SRT</t>
  </si>
  <si>
    <t>urna_085_srt_do</t>
  </si>
  <si>
    <t>Eleições 2020 - Docentes (SRT)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</si>
  <si>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Sertãozinho.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</si>
  <si>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srt.eleicoes2020@ifsp.edu.br</t>
  </si>
  <si>
    <t>1. Lacyr João Sverzut (Lacyr) (https://srt.ifsp.edu.br/component/content/article?id=459);
2. Paulo Sérgio Calefi (Professor Calefi) (https://srt.ifsp.edu.br/component/content/article?id=459);
3. Reinaldo Golmia Dante (https://srt.ifsp.edu.br/component/content/article?id=459);
4. Branco;
5. Nulo;</t>
  </si>
  <si>
    <t>Urna 086</t>
  </si>
  <si>
    <t>Discentes do Câmpus Sertãozinho</t>
  </si>
  <si>
    <t>urna_086_srt_di</t>
  </si>
  <si>
    <t>Eleições 2020 - Dicentes (SRT)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</si>
  <si>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Sertãozinho.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</si>
  <si>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087</t>
  </si>
  <si>
    <t>Técnicos Administrativos do Câmpus Sertãozinho</t>
  </si>
  <si>
    <t>urna_087_srt_te</t>
  </si>
  <si>
    <t>Eleições 2020 - Técnicos Administrativos (SRT)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</si>
  <si>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Sertãozinho.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</si>
  <si>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088</t>
  </si>
  <si>
    <t>Docentes do Câmpus Sorocaba</t>
  </si>
  <si>
    <t>SO - SOR</t>
  </si>
  <si>
    <t>urna_088_sor_do</t>
  </si>
  <si>
    <t>Eleições 2020 - Docentes (SOR)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</si>
  <si>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Sorocaba.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</si>
  <si>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sor.eleicoes2020@ifsp.edu.br</t>
  </si>
  <si>
    <t>1. Carlos Alberto Araripe (Araripe) (https://drive.ifsp.edu.br/s/MXCxGXtNLb23SmU#pdfviewer);
2. Denilson de Camargo Mirim (Prof. Denilson Mirim) (https://drive.ifsp.edu.br/s/6hKUE75RRPSg5WB#pdfviewer);
3. Branco;
4. Nulo;</t>
  </si>
  <si>
    <t>Urna 089</t>
  </si>
  <si>
    <t>Discentes do Câmpus Sorocaba</t>
  </si>
  <si>
    <t>urna_089_sor_di</t>
  </si>
  <si>
    <t>Eleições 2020 - Dicentes (SOR)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</si>
  <si>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Sorocaba.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</si>
  <si>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090</t>
  </si>
  <si>
    <t>Técnicos Administrativos do Câmpus Sorocaba</t>
  </si>
  <si>
    <t>urna_090_sor_te</t>
  </si>
  <si>
    <t>Eleições 2020 - Técnicos Administrativos (SOR)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</si>
  <si>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Sorocaba.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</si>
  <si>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091</t>
  </si>
  <si>
    <t>Docentes do Câmpus Suzano</t>
  </si>
  <si>
    <t>SZ - SZN</t>
  </si>
  <si>
    <t>urna_091_szn_do</t>
  </si>
  <si>
    <t>Eleições 2020 - Docentes (SZN)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</si>
  <si>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Suzano.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</si>
  <si>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comissao.szn2020@ifsp.edu.br</t>
  </si>
  <si>
    <t>1. Fábio Nazareno Machado da Silva (Fábio Nazareno) (http://szn.ifsp.edu.br/portal2/arquivos/ELEICAO_DRG_2020/Proposta_Gesto_FNMS_Final.pdf);
2. Eugenio de Felice Zampini (Eugenio Zampini) (http://szn.ifsp.edu.br/portal2/arquivos/ELEICAO_DRG_2020/Proposta-de-Gesto---Zampini.pdf);
3. Luiz Carlos Rodrigues Montes (Prof. Montes) (http://szn.ifsp.edu.br/portal2/arquivos/ELEICAO_DRG_2020/PROPOSTA-DE-GESTO-LUIZ-CARLOS_18092020novo.pdf);
4. Branco;
5. Nulo;</t>
  </si>
  <si>
    <t>Urna 092</t>
  </si>
  <si>
    <t>Discentes do Câmpus Suzano</t>
  </si>
  <si>
    <t>urna_092_szn_di</t>
  </si>
  <si>
    <t>Eleições 2020 - Dicentes (SZN)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</si>
  <si>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Suzano.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</si>
  <si>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093</t>
  </si>
  <si>
    <t>Técnicos Administrativos do Câmpus Suzano</t>
  </si>
  <si>
    <t>urna_093_szn_te</t>
  </si>
  <si>
    <t>Eleições 2020 - Técnicos Administrativos (SZN)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</si>
  <si>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Suzano.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</si>
  <si>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094</t>
  </si>
  <si>
    <t>Docentes do Câmpus Votuporanga</t>
  </si>
  <si>
    <t>VP - VTP</t>
  </si>
  <si>
    <t>urna_094_vtp_do</t>
  </si>
  <si>
    <t>Eleições 2020 - Docentes (VTP)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</si>
  <si>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Votuporanga.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</si>
  <si>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vtp.eleicoes2020@ifsp.edu.br</t>
  </si>
  <si>
    <t>1. Eduardo Rogério Gonçalves (http://vtp.ifsp.edu.br/index.php/eleicoes-2020.html);
2. Ricardo Teixeira Domingues (http://vtp.ifsp.edu.br/index.php/eleicoes-2020.html);
3. Branco;
4. Nulo;</t>
  </si>
  <si>
    <t>Urna 095</t>
  </si>
  <si>
    <t>Discentes do Câmpus Votuporanga</t>
  </si>
  <si>
    <t>urna_095_vtp_di</t>
  </si>
  <si>
    <t>Eleições 2020 - Dicentes (VTP)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</si>
  <si>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Votuporanga.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</si>
  <si>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096</t>
  </si>
  <si>
    <t>Técnicos Administrativos do Câmpus Votuporanga</t>
  </si>
  <si>
    <t>urna_096_vtp_te</t>
  </si>
  <si>
    <t>Eleições 2020 - Técnicos Administrativos (VTP)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</si>
  <si>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Votuporanga.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</si>
  <si>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097</t>
  </si>
  <si>
    <t>Docentes do Câmpus Avançado Ilha Solteira</t>
  </si>
  <si>
    <t>IS - IST</t>
  </si>
  <si>
    <t>urna_097_ist_do</t>
  </si>
  <si>
    <t>Eleições 2020 - Docentes (IST)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</si>
  <si>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Avançado Ilha Solteira.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</si>
  <si>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ist.eleicoes2020@ifsp.edu.br</t>
  </si>
  <si>
    <t>1. Carla Rubia Marques (https://ist.ifsp.edu.br/index.php/component/content/article/61-ultimas-noticias-ok/256-carla-rubia-marques);
2. Wilson José da Silva  (Prof. Wilson Silva) (https://ist.ifsp.edu.br/index.php/component/content/article/61-ultimas-noticias-ok/257-prof-wilson-silva);
3. Branco;
4. Nulo;</t>
  </si>
  <si>
    <t>Urna 098</t>
  </si>
  <si>
    <t>Discentes do Câmpus Avançado Ilha Solteira</t>
  </si>
  <si>
    <t>urna_098_ist_di</t>
  </si>
  <si>
    <t>Eleições 2020 - Dicentes (IST)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</si>
  <si>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Avançado Ilha Solteira.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</si>
  <si>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099</t>
  </si>
  <si>
    <t>Técnicos Administrativos do Câmpus Avançado Ilha Solteira</t>
  </si>
  <si>
    <t>urna_099_ist_te</t>
  </si>
  <si>
    <t>Eleições 2020 - Técnicos Administrativos (IST)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</si>
  <si>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Avançado Ilha Solteira.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</si>
  <si>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100</t>
  </si>
  <si>
    <t>Docentes do Câmpus Avançado Jundiaí</t>
  </si>
  <si>
    <t>JD - JND</t>
  </si>
  <si>
    <t>urna_100_jnd_do</t>
  </si>
  <si>
    <t>Eleições 2020 - Docentes (JND)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</si>
  <si>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Avançado Jundiaí.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</si>
  <si>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cel.jnd.2020@ifsp.edu.br</t>
  </si>
  <si>
    <t>1. Daniel Saverio Spozito (https://jnd.ifsp.edu.br/images/organizacao_nova/documentos/outros_documentos/eleicoes_IFSP/2020/Plano_de_Gesto_-_Daniel_Spozito.pdf);
2. Karina Maretti Strangueto (https://jnd.ifsp.edu.br/images/organizacao_nova/documentos/outros_documentos/eleicoes_IFSP/2020/Plano_de_Gesto_-_Karina_Maretti.pdf);
3. Branco;
4. Nulo;</t>
  </si>
  <si>
    <t>Urna 101</t>
  </si>
  <si>
    <t>Discentes do Câmpus Avançado Jundiaí</t>
  </si>
  <si>
    <t>urna_101_jnd_di</t>
  </si>
  <si>
    <t>Eleições 2020 - Dicentes (JND)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</si>
  <si>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Avançado Jundiaí.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</si>
  <si>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102</t>
  </si>
  <si>
    <t>Técnicos Administrativos do Campus Avançado Jundiaí</t>
  </si>
  <si>
    <t>urna_102_jnd_te</t>
  </si>
  <si>
    <t>Eleições 2020 - Técnicos Administrativos (JND)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</si>
  <si>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Avançado Jundiaí.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</si>
  <si>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103</t>
  </si>
  <si>
    <t>Docentes do Câmpus Avançado São Miguel Paulista</t>
  </si>
  <si>
    <t>SM - SMP</t>
  </si>
  <si>
    <t>urna_103_smp_do</t>
  </si>
  <si>
    <t>Eleições 2020 - Docentes (SMP)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</si>
  <si>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Avançado São Miguel Paulista.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</si>
  <si>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eleitoral.smp@ifsp.edu.br</t>
  </si>
  <si>
    <t>1. Luís Fernando de Freitas Camargo (Luís Fernando) (http://smp.ifsp.edu.br/index.php/ultimas-noticias/415-candidatos-diretor-geral-2020);
2. Branco;
3. Nulo;</t>
  </si>
  <si>
    <t>Urna 104</t>
  </si>
  <si>
    <t>Discentes do Câmpus Avançado São Miguel Paulista</t>
  </si>
  <si>
    <t>urna_104_smp_di</t>
  </si>
  <si>
    <t>Eleições 2020 - Dicentes (SMP)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</si>
  <si>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Avançado São Miguel Paulista.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</si>
  <si>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105</t>
  </si>
  <si>
    <t>Técnicos Administrativos do Avançado São Miguel Paulista</t>
  </si>
  <si>
    <t>urna_105_smp_te</t>
  </si>
  <si>
    <t>Eleições 2020 - Técnicos Administrativos (SMP)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</si>
  <si>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Avançado São Miguel Paulista.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</si>
  <si>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106</t>
  </si>
  <si>
    <t>Docentes do Câmpus Avançado Tupã</t>
  </si>
  <si>
    <t>TP - TUP</t>
  </si>
  <si>
    <t>urna_106_tup_do</t>
  </si>
  <si>
    <t>Eleições 2020 - Docentes (TUP)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</si>
  <si>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docentes do campus Avançado Tupã.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</si>
  <si>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tup.eleicoes2020@ifsp.edu.br</t>
  </si>
  <si>
    <t>1. Marcos Roberto Leite da Silva (Marcos Leite) (https://tup.ifsp.edu.br/index.php/component/content/article/2-uncategorised/643-candidatos-diretor-geral);
2. Branco;
3. Nulo;</t>
  </si>
  <si>
    <t>Urna 107</t>
  </si>
  <si>
    <t>Discentes do Câmpus Avançado Tupã</t>
  </si>
  <si>
    <t>urna_107_tup_di</t>
  </si>
  <si>
    <t>Eleições 2020 - Dicentes (TUP)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</si>
  <si>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discentes do campus Avançado Tupã.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</si>
  <si>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108</t>
  </si>
  <si>
    <t>Técnicos Administrativos do Câmpus Avançado Tupã</t>
  </si>
  <si>
    <t>urna_108_tup_te</t>
  </si>
  <si>
    <t>Eleições 2020 - Técnicos Administrativos (TUP)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</si>
  <si>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do campus Avançado Tupã.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</si>
  <si>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Urna 109</t>
  </si>
  <si>
    <t>Técnicos Administrativos da Reitoria</t>
  </si>
  <si>
    <t>RT - RET</t>
  </si>
  <si>
    <t>urna_109_ret_te</t>
  </si>
  <si>
    <t>Eleições 2020 - Técnicos Administrativos (RET)</t>
  </si>
  <si>
    <t>Conforme os Regulamentos: Código Eleitoral para Reitor (Resolução nº 39/2020 de 03 de setembro de 2020 e suas Retificações), Código Eleitoral para Diretor-Geral de Campus (Resolução nº 40/2020 de 03 de setembro de 2020 e suas Retificações) e Câmpus Avançados (Portaria nº 3254 de 08 de setembro de 2020) esta urna é destinada para o público de servidores técnicos-administrativos da Reitoria. Lembre-se que: 1. É permitido depositar a cédula na urna, até o final da eleição, quantas vezes quiser, porém, somente a última escolha será computada; 2. Para concluir a escolha, certifique-se de fornecer corretamente as credenciais institucionais e visulizar o código de rastreio da cédula.</t>
  </si>
  <si>
    <t>cel.ret.eleicoes2020@ifsp.edu.br</t>
  </si>
  <si>
    <t>Reitor</t>
  </si>
  <si>
    <t>ARQ</t>
  </si>
  <si>
    <t>AVR</t>
  </si>
  <si>
    <t>BRT</t>
  </si>
  <si>
    <t>BRI</t>
  </si>
  <si>
    <t>BTV</t>
  </si>
  <si>
    <t>BRA</t>
  </si>
  <si>
    <t>CMP</t>
  </si>
  <si>
    <t>CJO</t>
  </si>
  <si>
    <t>CPV</t>
  </si>
  <si>
    <t>CAR</t>
  </si>
  <si>
    <t>CTD</t>
  </si>
  <si>
    <t>CBT</t>
  </si>
  <si>
    <t>GRU</t>
  </si>
  <si>
    <t>HTO</t>
  </si>
  <si>
    <t>ITP</t>
  </si>
  <si>
    <t>ITQ</t>
  </si>
  <si>
    <t>JCR</t>
  </si>
  <si>
    <t>MTO</t>
  </si>
  <si>
    <t>PRC</t>
  </si>
  <si>
    <t>PTB</t>
  </si>
  <si>
    <t>PEP</t>
  </si>
  <si>
    <t>RGT</t>
  </si>
  <si>
    <t>SLT</t>
  </si>
  <si>
    <t>SCL</t>
  </si>
  <si>
    <t>SBV</t>
  </si>
  <si>
    <t>SJC</t>
  </si>
  <si>
    <t>SPO</t>
  </si>
  <si>
    <t>SRQ</t>
  </si>
  <si>
    <t>SRT</t>
  </si>
  <si>
    <t>SOR</t>
  </si>
  <si>
    <t>SZN</t>
  </si>
  <si>
    <t>VTP</t>
  </si>
  <si>
    <t>IST</t>
  </si>
  <si>
    <t>JND</t>
  </si>
  <si>
    <t>SMP</t>
  </si>
  <si>
    <t>TUP</t>
  </si>
  <si>
    <t>RET</t>
  </si>
  <si>
    <t>Araraquara</t>
  </si>
  <si>
    <t>Avaré</t>
  </si>
  <si>
    <t>Barretos</t>
  </si>
  <si>
    <t>Birigui</t>
  </si>
  <si>
    <t>Boituva</t>
  </si>
  <si>
    <t>Campinas</t>
  </si>
  <si>
    <t>Capivari</t>
  </si>
  <si>
    <t>Caraguatatuba</t>
  </si>
  <si>
    <t>Catanduva</t>
  </si>
  <si>
    <t>Cubatão</t>
  </si>
  <si>
    <t>Bragança Paulista</t>
  </si>
  <si>
    <t>Campos do Jordão</t>
  </si>
  <si>
    <t>Guarulhos</t>
  </si>
  <si>
    <t>Hortolândia</t>
  </si>
  <si>
    <t>Itapetininga</t>
  </si>
  <si>
    <t>Itaquaquecetuba</t>
  </si>
  <si>
    <t>Jacareí</t>
  </si>
  <si>
    <t>Matão</t>
  </si>
  <si>
    <t>Piracicaba</t>
  </si>
  <si>
    <t>Registro</t>
  </si>
  <si>
    <t>Salto</t>
  </si>
  <si>
    <t>São Paulo-Pirituba</t>
  </si>
  <si>
    <t>Presidente Epitácio</t>
  </si>
  <si>
    <t>São Carlos</t>
  </si>
  <si>
    <t>São João da Boa Vista</t>
  </si>
  <si>
    <t>São José dos Campos</t>
  </si>
  <si>
    <t>São Paulo</t>
  </si>
  <si>
    <t>São Roque</t>
  </si>
  <si>
    <t>Sertãozinho</t>
  </si>
  <si>
    <t>Sorocaba</t>
  </si>
  <si>
    <t>Suzano</t>
  </si>
  <si>
    <t>Votuporanga</t>
  </si>
  <si>
    <t>Ilha Solteira</t>
  </si>
  <si>
    <t>Jundiaí</t>
  </si>
  <si>
    <t>avançado</t>
  </si>
  <si>
    <t>São Miguel Paulista</t>
  </si>
  <si>
    <t>Tupã</t>
  </si>
  <si>
    <t>Reitoria</t>
  </si>
  <si>
    <t>INSTITUTO FEDERAL DE SÃO PAULO - ELEIÇÕES 2020</t>
  </si>
  <si>
    <t>N° de votos</t>
  </si>
  <si>
    <t>Brancos</t>
  </si>
  <si>
    <t>Nulos</t>
  </si>
  <si>
    <t>TAXA PERCENTUAL DO TOTAL DE VOTOS DO(A) CANDIDATO(A) - TVC</t>
  </si>
  <si>
    <t>Sebastião Francelino da Cruz</t>
  </si>
  <si>
    <t>Juliana de Carvalho Pimenta</t>
  </si>
  <si>
    <t>Ragnar Orlando Hammarstrom</t>
  </si>
  <si>
    <t>Wagner Ferraz Castro</t>
  </si>
  <si>
    <t>Alexandre Ataide Carniato</t>
  </si>
  <si>
    <t>Edilson Aparecido Bueno</t>
  </si>
  <si>
    <t>Rivelli da Silva Pinto</t>
  </si>
  <si>
    <t>Luís Fernando de Freitas Camargo</t>
  </si>
  <si>
    <t>Marcos Roberto Leite da Silva</t>
  </si>
  <si>
    <t>Ednilson Geraldo Rossi</t>
  </si>
  <si>
    <t>Fábio José Justo dos Santos</t>
  </si>
  <si>
    <t>Josilda Maria Belther</t>
  </si>
  <si>
    <t>Deidimar Alves Brissi</t>
  </si>
  <si>
    <t>Edmar César da Silva</t>
  </si>
  <si>
    <t>Felipe Ferreira de Almeida</t>
  </si>
  <si>
    <t>Lívia Pereira de Paula</t>
  </si>
  <si>
    <t>João Roberto Moro</t>
  </si>
  <si>
    <t>Orlando Leonardo Berenguel</t>
  </si>
  <si>
    <t>Eberval Oliveira Castro</t>
  </si>
  <si>
    <t>Éder José Costa Sacconi</t>
  </si>
  <si>
    <t>Letícia Pedroso Ramos</t>
  </si>
  <si>
    <t>Daniel Corrêa Lobato</t>
  </si>
  <si>
    <t>Marcelo Velloso Heeren</t>
  </si>
  <si>
    <t>Artarxerxes Tiago Tácito Modesto</t>
  </si>
  <si>
    <t>Elaine Cristina Araujo</t>
  </si>
  <si>
    <t>Joel Dias Saade</t>
  </si>
  <si>
    <t>Ricardo Agostinho de Rezende Júnior</t>
  </si>
  <si>
    <t>Caroline Felipe Jango da Silva</t>
  </si>
  <si>
    <t>Isaias Mendes de Oliveira</t>
  </si>
  <si>
    <t>Anderson Alves Esteves</t>
  </si>
  <si>
    <t>Aumir Antunes Graciano</t>
  </si>
  <si>
    <t>Alecio Rodrigues de Oliveira</t>
  </si>
  <si>
    <t>Claudemir Mariotti Junior</t>
  </si>
  <si>
    <t>Aguinaldo Luiz de Barros Lorandi</t>
  </si>
  <si>
    <t>Alexandre Silva</t>
  </si>
  <si>
    <t>Alan Marques da Silva</t>
  </si>
  <si>
    <t>Luciano Henrique Trindade</t>
  </si>
  <si>
    <t>Anibal Takeshiro Fukamati</t>
  </si>
  <si>
    <t>José Roberto Herrera Cantorani</t>
  </si>
  <si>
    <t>Ofélia Maria Marcondes</t>
  </si>
  <si>
    <t>Diego Cesar Valente e Silva</t>
  </si>
  <si>
    <t>Menoti Borri</t>
  </si>
  <si>
    <t>Fernando Henrique Gomes de Souza</t>
  </si>
  <si>
    <t>Valdeci Donizete Gonçalves</t>
  </si>
  <si>
    <t>Alberto Akio Shiga</t>
  </si>
  <si>
    <t>Ricardo Rechi Aguiar</t>
  </si>
  <si>
    <t>Alequexandre Galvez de Andrade</t>
  </si>
  <si>
    <t>Frank Viana de Carvalho</t>
  </si>
  <si>
    <t>Lacyr João Sverzut</t>
  </si>
  <si>
    <t>Paulo Sérgio Calefi</t>
  </si>
  <si>
    <t>Reinaldo Golmia Dante</t>
  </si>
  <si>
    <t>Carlos Alberto Araripe</t>
  </si>
  <si>
    <t>Denilson de Camargo Mirim</t>
  </si>
  <si>
    <t>Fábio Nazareno Machado da Silva</t>
  </si>
  <si>
    <t>Eugenio de Felice Zampini</t>
  </si>
  <si>
    <t>Luiz Carlos Rodrigues Montes</t>
  </si>
  <si>
    <t>Eduardo Rogério Gonçalves</t>
  </si>
  <si>
    <t>Ricardo Teixeira Domingues</t>
  </si>
  <si>
    <t>Carla Rubia Marques</t>
  </si>
  <si>
    <t>Wilson José da Silva</t>
  </si>
  <si>
    <t>Daniel Saverio Spozito</t>
  </si>
  <si>
    <t>Karina Maretti Strangueto</t>
  </si>
  <si>
    <t>Luciano Wanderley Mano Sanches</t>
  </si>
  <si>
    <t>Maria Madalena de Souza Santos</t>
  </si>
  <si>
    <t>Walter Luiz Andrade de Oliveira</t>
  </si>
  <si>
    <t>Juliana Barbara Moraes</t>
  </si>
  <si>
    <t>Leandro César de Lorena Peixoto</t>
  </si>
  <si>
    <t>Descrição</t>
  </si>
  <si>
    <t>Total aptos por urna</t>
  </si>
  <si>
    <t>Candidato</t>
  </si>
  <si>
    <t>Segmento</t>
  </si>
  <si>
    <t>Docente</t>
  </si>
  <si>
    <t>Discente</t>
  </si>
  <si>
    <t>Votos na urna</t>
  </si>
  <si>
    <t>TOTAL ELEITORES </t>
  </si>
  <si>
    <t>Sigla</t>
  </si>
  <si>
    <t>Câmpus</t>
  </si>
  <si>
    <t>TVC [%]</t>
  </si>
  <si>
    <t>1°</t>
  </si>
  <si>
    <t>2°</t>
  </si>
  <si>
    <t>3°</t>
  </si>
  <si>
    <t xml:space="preserve">1° </t>
  </si>
  <si>
    <t xml:space="preserve">2° </t>
  </si>
  <si>
    <t xml:space="preserve">3° </t>
  </si>
  <si>
    <t>Total de votos</t>
  </si>
  <si>
    <t>Resultado (preencher manualmente o nome dos candidatos)</t>
  </si>
  <si>
    <t>n° candidatos</t>
  </si>
  <si>
    <t>Câmpus pleno:</t>
  </si>
  <si>
    <t>Câmpus avançado:</t>
  </si>
  <si>
    <t>Conforme o Art. 44 dos Códigos Eleitorais para Reitor do IFSP e Diretor-Geral dos câmpus do IFSP, será utilizada a seguinte fórmula</t>
  </si>
  <si>
    <t>para o cálculo do Total de Votos do Candidato a Reitor e Diretor-Geral de câmpus:</t>
  </si>
  <si>
    <t>na qual:</t>
  </si>
  <si>
    <t>para o cálculo do Total de Votos do Candidato Diretor-Geral de câmpus avançado:</t>
  </si>
  <si>
    <t>Antônio Augusto Teixeira Pinto de Moraes</t>
  </si>
  <si>
    <t>Edson d'Ávila</t>
  </si>
  <si>
    <t>Elaine Inácio Bueno</t>
  </si>
  <si>
    <t>Maurício França Silva</t>
  </si>
  <si>
    <t>Rovílson Dias da Silva</t>
  </si>
  <si>
    <t>Silmário Batista dos Santos</t>
  </si>
  <si>
    <t>Wilson de Andrade Matos</t>
  </si>
  <si>
    <t>Total de votos por segmento</t>
  </si>
  <si>
    <t>Total aptos</t>
  </si>
  <si>
    <t xml:space="preserve">4° </t>
  </si>
  <si>
    <t xml:space="preserve">5° </t>
  </si>
  <si>
    <t xml:space="preserve">6° </t>
  </si>
  <si>
    <t xml:space="preserve">7° </t>
  </si>
  <si>
    <t>TAXA PERCENTUAL DO TOTAL DE VOTOS - TVC</t>
  </si>
  <si>
    <t>Processo de escolha de Reitor e Diretores de Câmpus e Cãmpus avançados</t>
  </si>
  <si>
    <t>Instruções:</t>
  </si>
  <si>
    <t>Elaborado por Rui Bertho Junior - IFSP Tupã</t>
  </si>
  <si>
    <t>Utilizar o software EXCEL do pacote Office 365.</t>
  </si>
  <si>
    <t>Caso encontre alguma inconsistência nos cálculos ou na exibição do conteúdo, enviar um email para a comissão</t>
  </si>
  <si>
    <t>Esta planilha será utilizada para a apuração dos votos.</t>
  </si>
  <si>
    <t>Não há garantia de compatibilidade pela utilização de outros softwares ou versões anteriores do pacote Office.</t>
  </si>
  <si>
    <t>Ao clicar nos icones o usuário será direcionado para o conteúdo específico.</t>
  </si>
  <si>
    <t>eleitoral central, informando o problema, além do software e versão utilizados para manipular a planilha.</t>
  </si>
  <si>
    <t>Apenas células com fundo amarelo podem ter seus valores alterados.</t>
  </si>
  <si>
    <t>Docente + TAE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</si>
</sst>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7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6"/>
      <color theme="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b/>
      <sz val="24"/>
      <color theme="7"/>
      <name val="Calibri"/>
      <family val="2"/>
      <scheme val="minor"/>
    </font>
    <font>
      <b/>
      <sz val="2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0" fillId="3" borderId="0" xfId="0" applyFill="1"/>
    <xf numFmtId="0" fontId="5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  <xf numFmtId="2" fontId="1" fillId="5" borderId="12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2" fontId="2" fillId="6" borderId="11" xfId="0" applyNumberFormat="1" applyFont="1" applyFill="1" applyBorder="1" applyAlignment="1">
      <alignment horizontal="center" vertical="center"/>
    </xf>
    <xf numFmtId="2" fontId="2" fillId="6" borderId="12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2" fontId="2" fillId="6" borderId="5" xfId="0" applyNumberFormat="1" applyFont="1" applyFill="1" applyBorder="1" applyAlignment="1" applyProtection="1">
      <alignment horizontal="center" vertical="center"/>
    </xf>
    <xf numFmtId="2" fontId="2" fillId="6" borderId="1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" fillId="3" borderId="0" xfId="0" applyFont="1" applyFill="1"/>
    <xf numFmtId="0" fontId="12" fillId="3" borderId="0" xfId="0" applyFont="1" applyFill="1"/>
    <xf numFmtId="0" fontId="14" fillId="3" borderId="0" xfId="0" applyFont="1" applyFill="1"/>
    <xf numFmtId="1" fontId="2" fillId="6" borderId="5" xfId="0" applyNumberFormat="1" applyFont="1" applyFill="1" applyBorder="1" applyAlignment="1" applyProtection="1">
      <alignment horizontal="center" vertical="center"/>
    </xf>
    <xf numFmtId="1" fontId="2" fillId="6" borderId="11" xfId="0" applyNumberFormat="1" applyFont="1" applyFill="1" applyBorder="1" applyAlignment="1" applyProtection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1" fontId="1" fillId="5" borderId="12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1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>
      <alignment horizontal="center" vertical="center" wrapText="1"/>
    </xf>
    <xf numFmtId="2" fontId="2" fillId="6" borderId="11" xfId="0" applyNumberFormat="1" applyFont="1" applyFill="1" applyBorder="1" applyAlignment="1">
      <alignment horizontal="center" vertical="center"/>
    </xf>
    <xf numFmtId="2" fontId="2" fillId="6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SLT!A1"/><Relationship Id="rId18" Type="http://schemas.openxmlformats.org/officeDocument/2006/relationships/hyperlink" Target="#MTO!A1"/><Relationship Id="rId26" Type="http://schemas.openxmlformats.org/officeDocument/2006/relationships/hyperlink" Target="#CAR!A1"/><Relationship Id="rId21" Type="http://schemas.openxmlformats.org/officeDocument/2006/relationships/hyperlink" Target="#ITP!A1"/><Relationship Id="rId34" Type="http://schemas.openxmlformats.org/officeDocument/2006/relationships/hyperlink" Target="#AVR!A1"/><Relationship Id="rId7" Type="http://schemas.openxmlformats.org/officeDocument/2006/relationships/hyperlink" Target="#SRT!A1"/><Relationship Id="rId12" Type="http://schemas.openxmlformats.org/officeDocument/2006/relationships/hyperlink" Target="#SBV!A1"/><Relationship Id="rId17" Type="http://schemas.openxmlformats.org/officeDocument/2006/relationships/hyperlink" Target="#PRC!A1"/><Relationship Id="rId25" Type="http://schemas.openxmlformats.org/officeDocument/2006/relationships/hyperlink" Target="#CTD!A1"/><Relationship Id="rId33" Type="http://schemas.openxmlformats.org/officeDocument/2006/relationships/hyperlink" Target="#BRT!A1"/><Relationship Id="rId38" Type="http://schemas.openxmlformats.org/officeDocument/2006/relationships/hyperlink" Target="#TVC!A1"/><Relationship Id="rId2" Type="http://schemas.openxmlformats.org/officeDocument/2006/relationships/hyperlink" Target="#JND!A1"/><Relationship Id="rId16" Type="http://schemas.openxmlformats.org/officeDocument/2006/relationships/hyperlink" Target="#PTB!A1"/><Relationship Id="rId20" Type="http://schemas.openxmlformats.org/officeDocument/2006/relationships/hyperlink" Target="#ITQ!A1"/><Relationship Id="rId29" Type="http://schemas.openxmlformats.org/officeDocument/2006/relationships/hyperlink" Target="#CMP!A1"/><Relationship Id="rId1" Type="http://schemas.openxmlformats.org/officeDocument/2006/relationships/hyperlink" Target="#SMP!A1"/><Relationship Id="rId6" Type="http://schemas.openxmlformats.org/officeDocument/2006/relationships/hyperlink" Target="#SOR!A1"/><Relationship Id="rId11" Type="http://schemas.openxmlformats.org/officeDocument/2006/relationships/hyperlink" Target="#SJC!A1"/><Relationship Id="rId24" Type="http://schemas.openxmlformats.org/officeDocument/2006/relationships/hyperlink" Target="#CBT!A1"/><Relationship Id="rId32" Type="http://schemas.openxmlformats.org/officeDocument/2006/relationships/hyperlink" Target="#BRI!A1"/><Relationship Id="rId37" Type="http://schemas.openxmlformats.org/officeDocument/2006/relationships/hyperlink" Target="#Reitor!A1"/><Relationship Id="rId5" Type="http://schemas.openxmlformats.org/officeDocument/2006/relationships/hyperlink" Target="#SZN!A1"/><Relationship Id="rId15" Type="http://schemas.openxmlformats.org/officeDocument/2006/relationships/hyperlink" Target="#PEP!A1"/><Relationship Id="rId23" Type="http://schemas.openxmlformats.org/officeDocument/2006/relationships/hyperlink" Target="#GRU!A1"/><Relationship Id="rId28" Type="http://schemas.openxmlformats.org/officeDocument/2006/relationships/hyperlink" Target="#CJO!A1"/><Relationship Id="rId36" Type="http://schemas.openxmlformats.org/officeDocument/2006/relationships/hyperlink" Target="#TUP!A1"/><Relationship Id="rId10" Type="http://schemas.openxmlformats.org/officeDocument/2006/relationships/hyperlink" Target="#SPO!A1"/><Relationship Id="rId19" Type="http://schemas.openxmlformats.org/officeDocument/2006/relationships/hyperlink" Target="#JCR!A1"/><Relationship Id="rId31" Type="http://schemas.openxmlformats.org/officeDocument/2006/relationships/hyperlink" Target="#BTV!A1"/><Relationship Id="rId4" Type="http://schemas.openxmlformats.org/officeDocument/2006/relationships/hyperlink" Target="#VTP!A1"/><Relationship Id="rId9" Type="http://schemas.openxmlformats.org/officeDocument/2006/relationships/hyperlink" Target="#SCL!A1"/><Relationship Id="rId14" Type="http://schemas.openxmlformats.org/officeDocument/2006/relationships/hyperlink" Target="#RGT!A1"/><Relationship Id="rId22" Type="http://schemas.openxmlformats.org/officeDocument/2006/relationships/hyperlink" Target="#HTO!A1"/><Relationship Id="rId27" Type="http://schemas.openxmlformats.org/officeDocument/2006/relationships/hyperlink" Target="#CPV!A1"/><Relationship Id="rId30" Type="http://schemas.openxmlformats.org/officeDocument/2006/relationships/hyperlink" Target="#BRA!A1"/><Relationship Id="rId35" Type="http://schemas.openxmlformats.org/officeDocument/2006/relationships/hyperlink" Target="#ARQ!A1"/><Relationship Id="rId8" Type="http://schemas.openxmlformats.org/officeDocument/2006/relationships/hyperlink" Target="#SRQ!A1"/><Relationship Id="rId3" Type="http://schemas.openxmlformats.org/officeDocument/2006/relationships/hyperlink" Target="#IS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1</xdr:row>
      <xdr:rowOff>142875</xdr:rowOff>
    </xdr:from>
    <xdr:to>
      <xdr:col>25</xdr:col>
      <xdr:colOff>352425</xdr:colOff>
      <xdr:row>36</xdr:row>
      <xdr:rowOff>180975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xmlns="" id="{BE72C0D9-D129-41B4-BB95-F15153C7FD9C}"/>
            </a:ext>
          </a:extLst>
        </xdr:cNvPr>
        <xdr:cNvGrpSpPr/>
      </xdr:nvGrpSpPr>
      <xdr:grpSpPr>
        <a:xfrm>
          <a:off x="7620000" y="333375"/>
          <a:ext cx="7972425" cy="6924675"/>
          <a:chOff x="7620000" y="695325"/>
          <a:chExt cx="7972425" cy="6753225"/>
        </a:xfrm>
      </xdr:grpSpPr>
      <xdr:sp macro="" textlink="">
        <xdr:nvSpPr>
          <xdr:cNvPr id="42" name="Retângulo: Cantos Arredondados 41">
            <a:extLst>
              <a:ext uri="{FF2B5EF4-FFF2-40B4-BE49-F238E27FC236}">
                <a16:creationId xmlns:a16="http://schemas.microsoft.com/office/drawing/2014/main" xmlns="" id="{990493C3-0306-46B6-8F8A-D44137F808A0}"/>
              </a:ext>
            </a:extLst>
          </xdr:cNvPr>
          <xdr:cNvSpPr/>
        </xdr:nvSpPr>
        <xdr:spPr>
          <a:xfrm>
            <a:off x="7620000" y="695325"/>
            <a:ext cx="7972425" cy="6753225"/>
          </a:xfrm>
          <a:prstGeom prst="roundRect">
            <a:avLst>
              <a:gd name="adj" fmla="val 3832"/>
            </a:avLst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6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Escolha</a:t>
            </a:r>
            <a:r>
              <a:rPr lang="pt-BR" sz="16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dos Diretores Gerais</a:t>
            </a:r>
            <a:endParaRPr lang="pt-BR" sz="1600">
              <a:effectLst/>
            </a:endParaRPr>
          </a:p>
        </xdr:txBody>
      </xdr:sp>
      <xdr:sp macro="" textlink="">
        <xdr:nvSpPr>
          <xdr:cNvPr id="46" name="Retângulo: Cantos Arredondados 45">
            <a:extLst>
              <a:ext uri="{FF2B5EF4-FFF2-40B4-BE49-F238E27FC236}">
                <a16:creationId xmlns:a16="http://schemas.microsoft.com/office/drawing/2014/main" xmlns="" id="{C0A2F6AC-E01A-4F6B-AE64-3C83BC052858}"/>
              </a:ext>
            </a:extLst>
          </xdr:cNvPr>
          <xdr:cNvSpPr/>
        </xdr:nvSpPr>
        <xdr:spPr>
          <a:xfrm>
            <a:off x="13325476" y="1266825"/>
            <a:ext cx="2019300" cy="5981700"/>
          </a:xfrm>
          <a:prstGeom prst="roundRect">
            <a:avLst>
              <a:gd name="adj" fmla="val 10349"/>
            </a:avLst>
          </a:prstGeom>
          <a:solidFill>
            <a:schemeClr val="accent6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600" b="1"/>
              <a:t>Câmpus avançados</a:t>
            </a:r>
          </a:p>
        </xdr:txBody>
      </xdr:sp>
      <xdr:sp macro="" textlink="">
        <xdr:nvSpPr>
          <xdr:cNvPr id="45" name="Retângulo: Cantos Arredondados 44">
            <a:extLst>
              <a:ext uri="{FF2B5EF4-FFF2-40B4-BE49-F238E27FC236}">
                <a16:creationId xmlns:a16="http://schemas.microsoft.com/office/drawing/2014/main" xmlns="" id="{80BBDF37-99DF-43D1-A382-B622F2D63C82}"/>
              </a:ext>
            </a:extLst>
          </xdr:cNvPr>
          <xdr:cNvSpPr/>
        </xdr:nvSpPr>
        <xdr:spPr>
          <a:xfrm>
            <a:off x="7896225" y="1285875"/>
            <a:ext cx="5248275" cy="5981700"/>
          </a:xfrm>
          <a:prstGeom prst="roundRect">
            <a:avLst>
              <a:gd name="adj" fmla="val 4689"/>
            </a:avLst>
          </a:prstGeom>
          <a:solidFill>
            <a:schemeClr val="accent6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600" b="1"/>
              <a:t>Câmpus plenos</a:t>
            </a:r>
          </a:p>
        </xdr:txBody>
      </xdr:sp>
    </xdr:grpSp>
    <xdr:clientData/>
  </xdr:twoCellAnchor>
  <xdr:twoCellAnchor>
    <xdr:from>
      <xdr:col>22</xdr:col>
      <xdr:colOff>485775</xdr:colOff>
      <xdr:row>23</xdr:row>
      <xdr:rowOff>130175</xdr:rowOff>
    </xdr:from>
    <xdr:to>
      <xdr:col>24</xdr:col>
      <xdr:colOff>219075</xdr:colOff>
      <xdr:row>26</xdr:row>
      <xdr:rowOff>92075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54B96E3-7FE6-44AF-9B77-C04D7FED0589}"/>
            </a:ext>
          </a:extLst>
        </xdr:cNvPr>
        <xdr:cNvSpPr/>
      </xdr:nvSpPr>
      <xdr:spPr>
        <a:xfrm>
          <a:off x="13896975" y="4921250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SMP</a:t>
          </a:r>
        </a:p>
      </xdr:txBody>
    </xdr:sp>
    <xdr:clientData/>
  </xdr:twoCellAnchor>
  <xdr:twoCellAnchor>
    <xdr:from>
      <xdr:col>22</xdr:col>
      <xdr:colOff>466725</xdr:colOff>
      <xdr:row>15</xdr:row>
      <xdr:rowOff>88900</xdr:rowOff>
    </xdr:from>
    <xdr:to>
      <xdr:col>24</xdr:col>
      <xdr:colOff>200025</xdr:colOff>
      <xdr:row>18</xdr:row>
      <xdr:rowOff>50800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C1113D3-6AD9-47D1-9A34-189A44F970DC}"/>
            </a:ext>
          </a:extLst>
        </xdr:cNvPr>
        <xdr:cNvSpPr/>
      </xdr:nvSpPr>
      <xdr:spPr>
        <a:xfrm>
          <a:off x="13877925" y="335597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JND</a:t>
          </a:r>
        </a:p>
      </xdr:txBody>
    </xdr:sp>
    <xdr:clientData/>
  </xdr:twoCellAnchor>
  <xdr:twoCellAnchor>
    <xdr:from>
      <xdr:col>22</xdr:col>
      <xdr:colOff>466725</xdr:colOff>
      <xdr:row>7</xdr:row>
      <xdr:rowOff>47625</xdr:rowOff>
    </xdr:from>
    <xdr:to>
      <xdr:col>24</xdr:col>
      <xdr:colOff>200025</xdr:colOff>
      <xdr:row>10</xdr:row>
      <xdr:rowOff>9525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AB9663EA-D0E5-4F13-A24F-682978B37280}"/>
            </a:ext>
          </a:extLst>
        </xdr:cNvPr>
        <xdr:cNvSpPr/>
      </xdr:nvSpPr>
      <xdr:spPr>
        <a:xfrm>
          <a:off x="13877925" y="1790700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IST</a:t>
          </a:r>
        </a:p>
      </xdr:txBody>
    </xdr:sp>
    <xdr:clientData/>
  </xdr:twoCellAnchor>
  <xdr:twoCellAnchor>
    <xdr:from>
      <xdr:col>19</xdr:col>
      <xdr:colOff>285750</xdr:colOff>
      <xdr:row>31</xdr:row>
      <xdr:rowOff>171450</xdr:rowOff>
    </xdr:from>
    <xdr:to>
      <xdr:col>21</xdr:col>
      <xdr:colOff>19050</xdr:colOff>
      <xdr:row>34</xdr:row>
      <xdr:rowOff>133350</xdr:rowOff>
    </xdr:to>
    <xdr:sp macro="" textlink="">
      <xdr:nvSpPr>
        <xdr:cNvPr id="7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EB27E9A-8BB9-4FFE-A132-AFAEADB8D315}"/>
            </a:ext>
          </a:extLst>
        </xdr:cNvPr>
        <xdr:cNvSpPr/>
      </xdr:nvSpPr>
      <xdr:spPr>
        <a:xfrm>
          <a:off x="10648950" y="5505450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VTP</a:t>
          </a:r>
        </a:p>
      </xdr:txBody>
    </xdr:sp>
    <xdr:clientData/>
  </xdr:twoCellAnchor>
  <xdr:twoCellAnchor>
    <xdr:from>
      <xdr:col>19</xdr:col>
      <xdr:colOff>285750</xdr:colOff>
      <xdr:row>28</xdr:row>
      <xdr:rowOff>72117</xdr:rowOff>
    </xdr:from>
    <xdr:to>
      <xdr:col>21</xdr:col>
      <xdr:colOff>19050</xdr:colOff>
      <xdr:row>31</xdr:row>
      <xdr:rowOff>34017</xdr:rowOff>
    </xdr:to>
    <xdr:sp macro="" textlink="">
      <xdr:nvSpPr>
        <xdr:cNvPr id="8" name="Retângulo: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4E7C3998-A6DC-4354-A9F3-E2D616AA0111}"/>
            </a:ext>
          </a:extLst>
        </xdr:cNvPr>
        <xdr:cNvSpPr/>
      </xdr:nvSpPr>
      <xdr:spPr>
        <a:xfrm>
          <a:off x="10648950" y="4834617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SZN</a:t>
          </a:r>
        </a:p>
      </xdr:txBody>
    </xdr:sp>
    <xdr:clientData/>
  </xdr:twoCellAnchor>
  <xdr:twoCellAnchor>
    <xdr:from>
      <xdr:col>19</xdr:col>
      <xdr:colOff>285750</xdr:colOff>
      <xdr:row>24</xdr:row>
      <xdr:rowOff>163285</xdr:rowOff>
    </xdr:from>
    <xdr:to>
      <xdr:col>21</xdr:col>
      <xdr:colOff>19050</xdr:colOff>
      <xdr:row>27</xdr:row>
      <xdr:rowOff>125185</xdr:rowOff>
    </xdr:to>
    <xdr:sp macro="" textlink="">
      <xdr:nvSpPr>
        <xdr:cNvPr id="9" name="Retângulo: Cantos Arredondado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F00E1C19-DFEC-48FC-AD9F-E63C91E3704D}"/>
            </a:ext>
          </a:extLst>
        </xdr:cNvPr>
        <xdr:cNvSpPr/>
      </xdr:nvSpPr>
      <xdr:spPr>
        <a:xfrm>
          <a:off x="10648950" y="416378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SOR</a:t>
          </a:r>
        </a:p>
      </xdr:txBody>
    </xdr:sp>
    <xdr:clientData/>
  </xdr:twoCellAnchor>
  <xdr:twoCellAnchor>
    <xdr:from>
      <xdr:col>19</xdr:col>
      <xdr:colOff>285750</xdr:colOff>
      <xdr:row>21</xdr:row>
      <xdr:rowOff>63953</xdr:rowOff>
    </xdr:from>
    <xdr:to>
      <xdr:col>21</xdr:col>
      <xdr:colOff>19050</xdr:colOff>
      <xdr:row>24</xdr:row>
      <xdr:rowOff>25853</xdr:rowOff>
    </xdr:to>
    <xdr:sp macro="" textlink="">
      <xdr:nvSpPr>
        <xdr:cNvPr id="10" name="Retângulo: Cantos Arredondado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EBA2FCF8-DD6B-4717-B46D-4AFA639881A2}"/>
            </a:ext>
          </a:extLst>
        </xdr:cNvPr>
        <xdr:cNvSpPr/>
      </xdr:nvSpPr>
      <xdr:spPr>
        <a:xfrm>
          <a:off x="10648950" y="3492953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SRT</a:t>
          </a:r>
        </a:p>
      </xdr:txBody>
    </xdr:sp>
    <xdr:clientData/>
  </xdr:twoCellAnchor>
  <xdr:twoCellAnchor>
    <xdr:from>
      <xdr:col>19</xdr:col>
      <xdr:colOff>285750</xdr:colOff>
      <xdr:row>17</xdr:row>
      <xdr:rowOff>155121</xdr:rowOff>
    </xdr:from>
    <xdr:to>
      <xdr:col>21</xdr:col>
      <xdr:colOff>19050</xdr:colOff>
      <xdr:row>20</xdr:row>
      <xdr:rowOff>117021</xdr:rowOff>
    </xdr:to>
    <xdr:sp macro="" textlink="">
      <xdr:nvSpPr>
        <xdr:cNvPr id="11" name="Retângulo: Cantos Arredondados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21232A5C-69B3-4930-BAF9-F760F69F0D80}"/>
            </a:ext>
          </a:extLst>
        </xdr:cNvPr>
        <xdr:cNvSpPr/>
      </xdr:nvSpPr>
      <xdr:spPr>
        <a:xfrm>
          <a:off x="10648950" y="2822121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SRQ</a:t>
          </a:r>
        </a:p>
      </xdr:txBody>
    </xdr:sp>
    <xdr:clientData/>
  </xdr:twoCellAnchor>
  <xdr:twoCellAnchor>
    <xdr:from>
      <xdr:col>17</xdr:col>
      <xdr:colOff>230187</xdr:colOff>
      <xdr:row>31</xdr:row>
      <xdr:rowOff>171450</xdr:rowOff>
    </xdr:from>
    <xdr:to>
      <xdr:col>18</xdr:col>
      <xdr:colOff>573087</xdr:colOff>
      <xdr:row>34</xdr:row>
      <xdr:rowOff>133350</xdr:rowOff>
    </xdr:to>
    <xdr:sp macro="" textlink="">
      <xdr:nvSpPr>
        <xdr:cNvPr id="12" name="Retângulo: Cantos Arredondados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F9936144-5884-4A32-9319-FB92CAB8F0BE}"/>
            </a:ext>
          </a:extLst>
        </xdr:cNvPr>
        <xdr:cNvSpPr/>
      </xdr:nvSpPr>
      <xdr:spPr>
        <a:xfrm>
          <a:off x="9374187" y="5505450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SCL</a:t>
          </a:r>
        </a:p>
      </xdr:txBody>
    </xdr:sp>
    <xdr:clientData/>
  </xdr:twoCellAnchor>
  <xdr:twoCellAnchor>
    <xdr:from>
      <xdr:col>19</xdr:col>
      <xdr:colOff>285750</xdr:colOff>
      <xdr:row>14</xdr:row>
      <xdr:rowOff>55789</xdr:rowOff>
    </xdr:from>
    <xdr:to>
      <xdr:col>21</xdr:col>
      <xdr:colOff>19050</xdr:colOff>
      <xdr:row>17</xdr:row>
      <xdr:rowOff>17689</xdr:rowOff>
    </xdr:to>
    <xdr:sp macro="" textlink="">
      <xdr:nvSpPr>
        <xdr:cNvPr id="13" name="Retângulo: Cantos Arredondados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B09343D6-F526-4881-9273-9859ED6252A0}"/>
            </a:ext>
          </a:extLst>
        </xdr:cNvPr>
        <xdr:cNvSpPr/>
      </xdr:nvSpPr>
      <xdr:spPr>
        <a:xfrm>
          <a:off x="10648950" y="2151289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SPO</a:t>
          </a:r>
        </a:p>
      </xdr:txBody>
    </xdr:sp>
    <xdr:clientData/>
  </xdr:twoCellAnchor>
  <xdr:twoCellAnchor>
    <xdr:from>
      <xdr:col>19</xdr:col>
      <xdr:colOff>285750</xdr:colOff>
      <xdr:row>10</xdr:row>
      <xdr:rowOff>146957</xdr:rowOff>
    </xdr:from>
    <xdr:to>
      <xdr:col>21</xdr:col>
      <xdr:colOff>19050</xdr:colOff>
      <xdr:row>13</xdr:row>
      <xdr:rowOff>108857</xdr:rowOff>
    </xdr:to>
    <xdr:sp macro="" textlink="">
      <xdr:nvSpPr>
        <xdr:cNvPr id="14" name="Retângulo: Cantos Arredondados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A42DCC58-3DAB-4462-8770-F7B62B4F4BE6}"/>
            </a:ext>
          </a:extLst>
        </xdr:cNvPr>
        <xdr:cNvSpPr/>
      </xdr:nvSpPr>
      <xdr:spPr>
        <a:xfrm>
          <a:off x="10648950" y="1480457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SJC</a:t>
          </a:r>
        </a:p>
      </xdr:txBody>
    </xdr:sp>
    <xdr:clientData/>
  </xdr:twoCellAnchor>
  <xdr:twoCellAnchor>
    <xdr:from>
      <xdr:col>19</xdr:col>
      <xdr:colOff>285750</xdr:colOff>
      <xdr:row>7</xdr:row>
      <xdr:rowOff>47625</xdr:rowOff>
    </xdr:from>
    <xdr:to>
      <xdr:col>21</xdr:col>
      <xdr:colOff>19050</xdr:colOff>
      <xdr:row>10</xdr:row>
      <xdr:rowOff>9525</xdr:rowOff>
    </xdr:to>
    <xdr:sp macro="" textlink="">
      <xdr:nvSpPr>
        <xdr:cNvPr id="15" name="Retângulo: Cantos Arredondados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425C810-DA51-4592-A560-B2C4742DBE7A}"/>
            </a:ext>
          </a:extLst>
        </xdr:cNvPr>
        <xdr:cNvSpPr/>
      </xdr:nvSpPr>
      <xdr:spPr>
        <a:xfrm>
          <a:off x="10648950" y="80962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SBV</a:t>
          </a:r>
        </a:p>
      </xdr:txBody>
    </xdr:sp>
    <xdr:clientData/>
  </xdr:twoCellAnchor>
  <xdr:twoCellAnchor>
    <xdr:from>
      <xdr:col>17</xdr:col>
      <xdr:colOff>230187</xdr:colOff>
      <xdr:row>28</xdr:row>
      <xdr:rowOff>72117</xdr:rowOff>
    </xdr:from>
    <xdr:to>
      <xdr:col>18</xdr:col>
      <xdr:colOff>573087</xdr:colOff>
      <xdr:row>31</xdr:row>
      <xdr:rowOff>34017</xdr:rowOff>
    </xdr:to>
    <xdr:sp macro="" textlink="">
      <xdr:nvSpPr>
        <xdr:cNvPr id="16" name="Retângulo: Cantos Arredondados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B99BFB5D-CA89-4D5C-BA5D-2A4BB6D6FCE7}"/>
            </a:ext>
          </a:extLst>
        </xdr:cNvPr>
        <xdr:cNvSpPr/>
      </xdr:nvSpPr>
      <xdr:spPr>
        <a:xfrm>
          <a:off x="9374187" y="4834617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SLT</a:t>
          </a:r>
        </a:p>
      </xdr:txBody>
    </xdr:sp>
    <xdr:clientData/>
  </xdr:twoCellAnchor>
  <xdr:twoCellAnchor>
    <xdr:from>
      <xdr:col>17</xdr:col>
      <xdr:colOff>230187</xdr:colOff>
      <xdr:row>24</xdr:row>
      <xdr:rowOff>163285</xdr:rowOff>
    </xdr:from>
    <xdr:to>
      <xdr:col>18</xdr:col>
      <xdr:colOff>573087</xdr:colOff>
      <xdr:row>27</xdr:row>
      <xdr:rowOff>125185</xdr:rowOff>
    </xdr:to>
    <xdr:sp macro="" textlink="">
      <xdr:nvSpPr>
        <xdr:cNvPr id="17" name="Retângulo: Cantos Arredondados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502B7232-05E7-4A28-B0F2-0CCCEAA00AE2}"/>
            </a:ext>
          </a:extLst>
        </xdr:cNvPr>
        <xdr:cNvSpPr/>
      </xdr:nvSpPr>
      <xdr:spPr>
        <a:xfrm>
          <a:off x="9374187" y="416378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RGT</a:t>
          </a:r>
        </a:p>
      </xdr:txBody>
    </xdr:sp>
    <xdr:clientData/>
  </xdr:twoCellAnchor>
  <xdr:twoCellAnchor>
    <xdr:from>
      <xdr:col>17</xdr:col>
      <xdr:colOff>230187</xdr:colOff>
      <xdr:row>21</xdr:row>
      <xdr:rowOff>63953</xdr:rowOff>
    </xdr:from>
    <xdr:to>
      <xdr:col>18</xdr:col>
      <xdr:colOff>573087</xdr:colOff>
      <xdr:row>24</xdr:row>
      <xdr:rowOff>25853</xdr:rowOff>
    </xdr:to>
    <xdr:sp macro="" textlink="">
      <xdr:nvSpPr>
        <xdr:cNvPr id="18" name="Retângulo: Cantos Arredondados 1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A7110EC9-0D08-4755-AE2D-8A9AE46FDA91}"/>
            </a:ext>
          </a:extLst>
        </xdr:cNvPr>
        <xdr:cNvSpPr/>
      </xdr:nvSpPr>
      <xdr:spPr>
        <a:xfrm>
          <a:off x="9374187" y="3492953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PEP</a:t>
          </a:r>
        </a:p>
      </xdr:txBody>
    </xdr:sp>
    <xdr:clientData/>
  </xdr:twoCellAnchor>
  <xdr:twoCellAnchor>
    <xdr:from>
      <xdr:col>17</xdr:col>
      <xdr:colOff>230187</xdr:colOff>
      <xdr:row>17</xdr:row>
      <xdr:rowOff>155121</xdr:rowOff>
    </xdr:from>
    <xdr:to>
      <xdr:col>18</xdr:col>
      <xdr:colOff>573087</xdr:colOff>
      <xdr:row>20</xdr:row>
      <xdr:rowOff>117021</xdr:rowOff>
    </xdr:to>
    <xdr:sp macro="" textlink="">
      <xdr:nvSpPr>
        <xdr:cNvPr id="19" name="Retângulo: Cantos Arredondados 1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E60ED84E-65C0-4786-B855-59E99FE2DAB0}"/>
            </a:ext>
          </a:extLst>
        </xdr:cNvPr>
        <xdr:cNvSpPr/>
      </xdr:nvSpPr>
      <xdr:spPr>
        <a:xfrm>
          <a:off x="9374187" y="2822121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PTB</a:t>
          </a:r>
        </a:p>
      </xdr:txBody>
    </xdr:sp>
    <xdr:clientData/>
  </xdr:twoCellAnchor>
  <xdr:twoCellAnchor>
    <xdr:from>
      <xdr:col>17</xdr:col>
      <xdr:colOff>230187</xdr:colOff>
      <xdr:row>14</xdr:row>
      <xdr:rowOff>55789</xdr:rowOff>
    </xdr:from>
    <xdr:to>
      <xdr:col>18</xdr:col>
      <xdr:colOff>573087</xdr:colOff>
      <xdr:row>17</xdr:row>
      <xdr:rowOff>17689</xdr:rowOff>
    </xdr:to>
    <xdr:sp macro="" textlink="">
      <xdr:nvSpPr>
        <xdr:cNvPr id="20" name="Retângulo: Cantos Arredondados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8E0FB168-AA95-45B8-A6E2-76A3A9F3907D}"/>
            </a:ext>
          </a:extLst>
        </xdr:cNvPr>
        <xdr:cNvSpPr/>
      </xdr:nvSpPr>
      <xdr:spPr>
        <a:xfrm>
          <a:off x="9374187" y="2151289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PRC</a:t>
          </a:r>
        </a:p>
      </xdr:txBody>
    </xdr:sp>
    <xdr:clientData/>
  </xdr:twoCellAnchor>
  <xdr:twoCellAnchor>
    <xdr:from>
      <xdr:col>17</xdr:col>
      <xdr:colOff>230187</xdr:colOff>
      <xdr:row>10</xdr:row>
      <xdr:rowOff>146957</xdr:rowOff>
    </xdr:from>
    <xdr:to>
      <xdr:col>18</xdr:col>
      <xdr:colOff>573087</xdr:colOff>
      <xdr:row>13</xdr:row>
      <xdr:rowOff>108857</xdr:rowOff>
    </xdr:to>
    <xdr:sp macro="" textlink="">
      <xdr:nvSpPr>
        <xdr:cNvPr id="21" name="Retângulo: Cantos Arredondados 2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A752FECF-7193-4634-8A40-EA0289B3DBA3}"/>
            </a:ext>
          </a:extLst>
        </xdr:cNvPr>
        <xdr:cNvSpPr/>
      </xdr:nvSpPr>
      <xdr:spPr>
        <a:xfrm>
          <a:off x="9374187" y="1480457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MTO</a:t>
          </a:r>
        </a:p>
      </xdr:txBody>
    </xdr:sp>
    <xdr:clientData/>
  </xdr:twoCellAnchor>
  <xdr:twoCellAnchor>
    <xdr:from>
      <xdr:col>17</xdr:col>
      <xdr:colOff>230187</xdr:colOff>
      <xdr:row>7</xdr:row>
      <xdr:rowOff>47625</xdr:rowOff>
    </xdr:from>
    <xdr:to>
      <xdr:col>18</xdr:col>
      <xdr:colOff>573087</xdr:colOff>
      <xdr:row>10</xdr:row>
      <xdr:rowOff>9525</xdr:rowOff>
    </xdr:to>
    <xdr:sp macro="" textlink="">
      <xdr:nvSpPr>
        <xdr:cNvPr id="22" name="Retângulo: Cantos Arredondados 2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DD0416AD-1329-4FB2-9EEF-4E5A82A2F29D}"/>
            </a:ext>
          </a:extLst>
        </xdr:cNvPr>
        <xdr:cNvSpPr/>
      </xdr:nvSpPr>
      <xdr:spPr>
        <a:xfrm>
          <a:off x="9374187" y="80962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JCR</a:t>
          </a:r>
        </a:p>
      </xdr:txBody>
    </xdr:sp>
    <xdr:clientData/>
  </xdr:twoCellAnchor>
  <xdr:twoCellAnchor>
    <xdr:from>
      <xdr:col>15</xdr:col>
      <xdr:colOff>209550</xdr:colOff>
      <xdr:row>31</xdr:row>
      <xdr:rowOff>171450</xdr:rowOff>
    </xdr:from>
    <xdr:to>
      <xdr:col>16</xdr:col>
      <xdr:colOff>552450</xdr:colOff>
      <xdr:row>34</xdr:row>
      <xdr:rowOff>133350</xdr:rowOff>
    </xdr:to>
    <xdr:sp macro="" textlink="">
      <xdr:nvSpPr>
        <xdr:cNvPr id="23" name="Retângulo: Cantos Arredondados 2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72D85216-37A2-4249-944A-1AEBFE49352D}"/>
            </a:ext>
          </a:extLst>
        </xdr:cNvPr>
        <xdr:cNvSpPr/>
      </xdr:nvSpPr>
      <xdr:spPr>
        <a:xfrm>
          <a:off x="8134350" y="5505450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ITQ</a:t>
          </a:r>
        </a:p>
      </xdr:txBody>
    </xdr:sp>
    <xdr:clientData/>
  </xdr:twoCellAnchor>
  <xdr:twoCellAnchor>
    <xdr:from>
      <xdr:col>15</xdr:col>
      <xdr:colOff>209550</xdr:colOff>
      <xdr:row>28</xdr:row>
      <xdr:rowOff>72117</xdr:rowOff>
    </xdr:from>
    <xdr:to>
      <xdr:col>16</xdr:col>
      <xdr:colOff>552450</xdr:colOff>
      <xdr:row>31</xdr:row>
      <xdr:rowOff>34017</xdr:rowOff>
    </xdr:to>
    <xdr:sp macro="" textlink="">
      <xdr:nvSpPr>
        <xdr:cNvPr id="24" name="Retângulo: Cantos Arredondados 2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3F201E59-24E7-4946-AEFB-146CC5CAFBE1}"/>
            </a:ext>
          </a:extLst>
        </xdr:cNvPr>
        <xdr:cNvSpPr/>
      </xdr:nvSpPr>
      <xdr:spPr>
        <a:xfrm>
          <a:off x="8134350" y="4834617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ITP</a:t>
          </a:r>
        </a:p>
      </xdr:txBody>
    </xdr:sp>
    <xdr:clientData/>
  </xdr:twoCellAnchor>
  <xdr:twoCellAnchor>
    <xdr:from>
      <xdr:col>15</xdr:col>
      <xdr:colOff>209550</xdr:colOff>
      <xdr:row>24</xdr:row>
      <xdr:rowOff>163285</xdr:rowOff>
    </xdr:from>
    <xdr:to>
      <xdr:col>16</xdr:col>
      <xdr:colOff>552450</xdr:colOff>
      <xdr:row>27</xdr:row>
      <xdr:rowOff>125185</xdr:rowOff>
    </xdr:to>
    <xdr:sp macro="" textlink="">
      <xdr:nvSpPr>
        <xdr:cNvPr id="25" name="Retângulo: Cantos Arredondados 2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1D09ABCE-39F7-4DE8-9A66-58B0A1D27B30}"/>
            </a:ext>
          </a:extLst>
        </xdr:cNvPr>
        <xdr:cNvSpPr/>
      </xdr:nvSpPr>
      <xdr:spPr>
        <a:xfrm>
          <a:off x="8134350" y="416378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HTO</a:t>
          </a:r>
        </a:p>
      </xdr:txBody>
    </xdr:sp>
    <xdr:clientData/>
  </xdr:twoCellAnchor>
  <xdr:twoCellAnchor>
    <xdr:from>
      <xdr:col>15</xdr:col>
      <xdr:colOff>209550</xdr:colOff>
      <xdr:row>21</xdr:row>
      <xdr:rowOff>63953</xdr:rowOff>
    </xdr:from>
    <xdr:to>
      <xdr:col>16</xdr:col>
      <xdr:colOff>552450</xdr:colOff>
      <xdr:row>24</xdr:row>
      <xdr:rowOff>25853</xdr:rowOff>
    </xdr:to>
    <xdr:sp macro="" textlink="">
      <xdr:nvSpPr>
        <xdr:cNvPr id="26" name="Retângulo: Cantos Arredondados 25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EE2A15A1-FA3A-44E3-83D6-83CBE6426F33}"/>
            </a:ext>
          </a:extLst>
        </xdr:cNvPr>
        <xdr:cNvSpPr/>
      </xdr:nvSpPr>
      <xdr:spPr>
        <a:xfrm>
          <a:off x="8134350" y="3492953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GRU</a:t>
          </a:r>
        </a:p>
      </xdr:txBody>
    </xdr:sp>
    <xdr:clientData/>
  </xdr:twoCellAnchor>
  <xdr:twoCellAnchor>
    <xdr:from>
      <xdr:col>15</xdr:col>
      <xdr:colOff>209550</xdr:colOff>
      <xdr:row>17</xdr:row>
      <xdr:rowOff>155121</xdr:rowOff>
    </xdr:from>
    <xdr:to>
      <xdr:col>16</xdr:col>
      <xdr:colOff>552450</xdr:colOff>
      <xdr:row>20</xdr:row>
      <xdr:rowOff>117021</xdr:rowOff>
    </xdr:to>
    <xdr:sp macro="" textlink="">
      <xdr:nvSpPr>
        <xdr:cNvPr id="27" name="Retângulo: Cantos Arredondados 26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7F9372E5-3491-4F67-9C2A-6224EC2A1EF5}"/>
            </a:ext>
          </a:extLst>
        </xdr:cNvPr>
        <xdr:cNvSpPr/>
      </xdr:nvSpPr>
      <xdr:spPr>
        <a:xfrm>
          <a:off x="8134350" y="2822121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CBT</a:t>
          </a:r>
        </a:p>
      </xdr:txBody>
    </xdr:sp>
    <xdr:clientData/>
  </xdr:twoCellAnchor>
  <xdr:twoCellAnchor>
    <xdr:from>
      <xdr:col>15</xdr:col>
      <xdr:colOff>209550</xdr:colOff>
      <xdr:row>14</xdr:row>
      <xdr:rowOff>55789</xdr:rowOff>
    </xdr:from>
    <xdr:to>
      <xdr:col>16</xdr:col>
      <xdr:colOff>552450</xdr:colOff>
      <xdr:row>17</xdr:row>
      <xdr:rowOff>17689</xdr:rowOff>
    </xdr:to>
    <xdr:sp macro="" textlink="">
      <xdr:nvSpPr>
        <xdr:cNvPr id="28" name="Retângulo: Cantos Arredondados 2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BED58371-6CEC-4C28-8511-7D13A762D59E}"/>
            </a:ext>
          </a:extLst>
        </xdr:cNvPr>
        <xdr:cNvSpPr/>
      </xdr:nvSpPr>
      <xdr:spPr>
        <a:xfrm>
          <a:off x="8134350" y="2151289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CTD</a:t>
          </a:r>
        </a:p>
      </xdr:txBody>
    </xdr:sp>
    <xdr:clientData/>
  </xdr:twoCellAnchor>
  <xdr:twoCellAnchor>
    <xdr:from>
      <xdr:col>15</xdr:col>
      <xdr:colOff>209550</xdr:colOff>
      <xdr:row>10</xdr:row>
      <xdr:rowOff>146957</xdr:rowOff>
    </xdr:from>
    <xdr:to>
      <xdr:col>16</xdr:col>
      <xdr:colOff>552450</xdr:colOff>
      <xdr:row>13</xdr:row>
      <xdr:rowOff>108857</xdr:rowOff>
    </xdr:to>
    <xdr:sp macro="" textlink="">
      <xdr:nvSpPr>
        <xdr:cNvPr id="29" name="Retângulo: Cantos Arredondados 28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CA58E505-EA61-41B4-AF68-652E94863B00}"/>
            </a:ext>
          </a:extLst>
        </xdr:cNvPr>
        <xdr:cNvSpPr/>
      </xdr:nvSpPr>
      <xdr:spPr>
        <a:xfrm>
          <a:off x="8134350" y="1480457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CAR</a:t>
          </a:r>
        </a:p>
      </xdr:txBody>
    </xdr:sp>
    <xdr:clientData/>
  </xdr:twoCellAnchor>
  <xdr:twoCellAnchor>
    <xdr:from>
      <xdr:col>15</xdr:col>
      <xdr:colOff>209550</xdr:colOff>
      <xdr:row>7</xdr:row>
      <xdr:rowOff>47625</xdr:rowOff>
    </xdr:from>
    <xdr:to>
      <xdr:col>16</xdr:col>
      <xdr:colOff>552450</xdr:colOff>
      <xdr:row>10</xdr:row>
      <xdr:rowOff>9525</xdr:rowOff>
    </xdr:to>
    <xdr:sp macro="" textlink="">
      <xdr:nvSpPr>
        <xdr:cNvPr id="30" name="Retângulo: Cantos Arredondados 2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76AA66D4-2B64-41C2-95AA-CB310642D191}"/>
            </a:ext>
          </a:extLst>
        </xdr:cNvPr>
        <xdr:cNvSpPr/>
      </xdr:nvSpPr>
      <xdr:spPr>
        <a:xfrm>
          <a:off x="8134350" y="80962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CPV</a:t>
          </a:r>
        </a:p>
      </xdr:txBody>
    </xdr:sp>
    <xdr:clientData/>
  </xdr:twoCellAnchor>
  <xdr:twoCellAnchor>
    <xdr:from>
      <xdr:col>13</xdr:col>
      <xdr:colOff>152400</xdr:colOff>
      <xdr:row>31</xdr:row>
      <xdr:rowOff>171450</xdr:rowOff>
    </xdr:from>
    <xdr:to>
      <xdr:col>14</xdr:col>
      <xdr:colOff>495300</xdr:colOff>
      <xdr:row>34</xdr:row>
      <xdr:rowOff>133350</xdr:rowOff>
    </xdr:to>
    <xdr:sp macro="" textlink="">
      <xdr:nvSpPr>
        <xdr:cNvPr id="31" name="Retângulo: Cantos Arredondados 3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xmlns="" id="{9DEC6138-30F5-4FEC-8D9F-C87B917CF8EC}"/>
            </a:ext>
          </a:extLst>
        </xdr:cNvPr>
        <xdr:cNvSpPr/>
      </xdr:nvSpPr>
      <xdr:spPr>
        <a:xfrm>
          <a:off x="6858000" y="5505450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CJO</a:t>
          </a:r>
        </a:p>
      </xdr:txBody>
    </xdr:sp>
    <xdr:clientData/>
  </xdr:twoCellAnchor>
  <xdr:twoCellAnchor>
    <xdr:from>
      <xdr:col>13</xdr:col>
      <xdr:colOff>152400</xdr:colOff>
      <xdr:row>28</xdr:row>
      <xdr:rowOff>72117</xdr:rowOff>
    </xdr:from>
    <xdr:to>
      <xdr:col>14</xdr:col>
      <xdr:colOff>495300</xdr:colOff>
      <xdr:row>31</xdr:row>
      <xdr:rowOff>34017</xdr:rowOff>
    </xdr:to>
    <xdr:sp macro="" textlink="">
      <xdr:nvSpPr>
        <xdr:cNvPr id="32" name="Retângulo: Cantos Arredondados 31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3F1E48C2-73EE-484B-9A97-B516CC794F6C}"/>
            </a:ext>
          </a:extLst>
        </xdr:cNvPr>
        <xdr:cNvSpPr/>
      </xdr:nvSpPr>
      <xdr:spPr>
        <a:xfrm>
          <a:off x="6858000" y="4834617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CMP</a:t>
          </a:r>
        </a:p>
      </xdr:txBody>
    </xdr:sp>
    <xdr:clientData/>
  </xdr:twoCellAnchor>
  <xdr:twoCellAnchor>
    <xdr:from>
      <xdr:col>13</xdr:col>
      <xdr:colOff>152400</xdr:colOff>
      <xdr:row>24</xdr:row>
      <xdr:rowOff>163285</xdr:rowOff>
    </xdr:from>
    <xdr:to>
      <xdr:col>14</xdr:col>
      <xdr:colOff>495300</xdr:colOff>
      <xdr:row>27</xdr:row>
      <xdr:rowOff>125185</xdr:rowOff>
    </xdr:to>
    <xdr:sp macro="" textlink="">
      <xdr:nvSpPr>
        <xdr:cNvPr id="33" name="Retângulo: Cantos Arredondados 32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xmlns="" id="{831A71E7-2B36-4F6B-8E97-80CD9573FAAD}"/>
            </a:ext>
          </a:extLst>
        </xdr:cNvPr>
        <xdr:cNvSpPr/>
      </xdr:nvSpPr>
      <xdr:spPr>
        <a:xfrm>
          <a:off x="6858000" y="416378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BRA</a:t>
          </a:r>
        </a:p>
      </xdr:txBody>
    </xdr:sp>
    <xdr:clientData/>
  </xdr:twoCellAnchor>
  <xdr:twoCellAnchor>
    <xdr:from>
      <xdr:col>13</xdr:col>
      <xdr:colOff>152400</xdr:colOff>
      <xdr:row>21</xdr:row>
      <xdr:rowOff>63953</xdr:rowOff>
    </xdr:from>
    <xdr:to>
      <xdr:col>14</xdr:col>
      <xdr:colOff>495300</xdr:colOff>
      <xdr:row>24</xdr:row>
      <xdr:rowOff>25853</xdr:rowOff>
    </xdr:to>
    <xdr:sp macro="" textlink="">
      <xdr:nvSpPr>
        <xdr:cNvPr id="34" name="Retângulo: Cantos Arredondados 33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xmlns="" id="{422F55FA-648F-44F3-89D6-13EC5FFFBFF1}"/>
            </a:ext>
          </a:extLst>
        </xdr:cNvPr>
        <xdr:cNvSpPr/>
      </xdr:nvSpPr>
      <xdr:spPr>
        <a:xfrm>
          <a:off x="6858000" y="3492953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BTV</a:t>
          </a:r>
        </a:p>
      </xdr:txBody>
    </xdr:sp>
    <xdr:clientData/>
  </xdr:twoCellAnchor>
  <xdr:twoCellAnchor>
    <xdr:from>
      <xdr:col>13</xdr:col>
      <xdr:colOff>152400</xdr:colOff>
      <xdr:row>17</xdr:row>
      <xdr:rowOff>155121</xdr:rowOff>
    </xdr:from>
    <xdr:to>
      <xdr:col>14</xdr:col>
      <xdr:colOff>495300</xdr:colOff>
      <xdr:row>20</xdr:row>
      <xdr:rowOff>117021</xdr:rowOff>
    </xdr:to>
    <xdr:sp macro="" textlink="">
      <xdr:nvSpPr>
        <xdr:cNvPr id="35" name="Retângulo: Cantos Arredondados 34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xmlns="" id="{DF8EE5A4-4DBE-47CC-A395-2E0821404E06}"/>
            </a:ext>
          </a:extLst>
        </xdr:cNvPr>
        <xdr:cNvSpPr/>
      </xdr:nvSpPr>
      <xdr:spPr>
        <a:xfrm>
          <a:off x="6858000" y="2822121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BRI</a:t>
          </a:r>
        </a:p>
      </xdr:txBody>
    </xdr:sp>
    <xdr:clientData/>
  </xdr:twoCellAnchor>
  <xdr:twoCellAnchor>
    <xdr:from>
      <xdr:col>13</xdr:col>
      <xdr:colOff>152400</xdr:colOff>
      <xdr:row>14</xdr:row>
      <xdr:rowOff>55789</xdr:rowOff>
    </xdr:from>
    <xdr:to>
      <xdr:col>14</xdr:col>
      <xdr:colOff>495300</xdr:colOff>
      <xdr:row>17</xdr:row>
      <xdr:rowOff>17689</xdr:rowOff>
    </xdr:to>
    <xdr:sp macro="" textlink="">
      <xdr:nvSpPr>
        <xdr:cNvPr id="36" name="Retângulo: Cantos Arredondados 35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xmlns="" id="{30C59286-16A6-40F1-B8B4-447572543DC5}"/>
            </a:ext>
          </a:extLst>
        </xdr:cNvPr>
        <xdr:cNvSpPr/>
      </xdr:nvSpPr>
      <xdr:spPr>
        <a:xfrm>
          <a:off x="6858000" y="2151289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BRT</a:t>
          </a:r>
        </a:p>
      </xdr:txBody>
    </xdr:sp>
    <xdr:clientData/>
  </xdr:twoCellAnchor>
  <xdr:twoCellAnchor>
    <xdr:from>
      <xdr:col>13</xdr:col>
      <xdr:colOff>152400</xdr:colOff>
      <xdr:row>10</xdr:row>
      <xdr:rowOff>146957</xdr:rowOff>
    </xdr:from>
    <xdr:to>
      <xdr:col>14</xdr:col>
      <xdr:colOff>495300</xdr:colOff>
      <xdr:row>13</xdr:row>
      <xdr:rowOff>108857</xdr:rowOff>
    </xdr:to>
    <xdr:sp macro="" textlink="">
      <xdr:nvSpPr>
        <xdr:cNvPr id="37" name="Retângulo: Cantos Arredondados 36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xmlns="" id="{B5134CFC-11A5-4C07-9241-909216F2E72E}"/>
            </a:ext>
          </a:extLst>
        </xdr:cNvPr>
        <xdr:cNvSpPr/>
      </xdr:nvSpPr>
      <xdr:spPr>
        <a:xfrm>
          <a:off x="6858000" y="1480457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AVR</a:t>
          </a:r>
        </a:p>
      </xdr:txBody>
    </xdr:sp>
    <xdr:clientData/>
  </xdr:twoCellAnchor>
  <xdr:twoCellAnchor>
    <xdr:from>
      <xdr:col>13</xdr:col>
      <xdr:colOff>152400</xdr:colOff>
      <xdr:row>7</xdr:row>
      <xdr:rowOff>47625</xdr:rowOff>
    </xdr:from>
    <xdr:to>
      <xdr:col>14</xdr:col>
      <xdr:colOff>495300</xdr:colOff>
      <xdr:row>10</xdr:row>
      <xdr:rowOff>9525</xdr:rowOff>
    </xdr:to>
    <xdr:sp macro="" textlink="">
      <xdr:nvSpPr>
        <xdr:cNvPr id="38" name="Retângulo: Cantos Arredondados 37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xmlns="" id="{2CB6ACEB-A520-4749-972F-A16D7383B136}"/>
            </a:ext>
          </a:extLst>
        </xdr:cNvPr>
        <xdr:cNvSpPr/>
      </xdr:nvSpPr>
      <xdr:spPr>
        <a:xfrm>
          <a:off x="6858000" y="80962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ARQ</a:t>
          </a:r>
        </a:p>
      </xdr:txBody>
    </xdr:sp>
    <xdr:clientData/>
  </xdr:twoCellAnchor>
  <xdr:twoCellAnchor>
    <xdr:from>
      <xdr:col>22</xdr:col>
      <xdr:colOff>485775</xdr:colOff>
      <xdr:row>31</xdr:row>
      <xdr:rowOff>171450</xdr:rowOff>
    </xdr:from>
    <xdr:to>
      <xdr:col>24</xdr:col>
      <xdr:colOff>219075</xdr:colOff>
      <xdr:row>34</xdr:row>
      <xdr:rowOff>133350</xdr:rowOff>
    </xdr:to>
    <xdr:sp macro="" textlink="">
      <xdr:nvSpPr>
        <xdr:cNvPr id="39" name="Retângulo: Cantos Arredondados 38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xmlns="" id="{D73864DA-B05A-4FAF-9CD8-E90F9D3FC49C}"/>
            </a:ext>
          </a:extLst>
        </xdr:cNvPr>
        <xdr:cNvSpPr/>
      </xdr:nvSpPr>
      <xdr:spPr>
        <a:xfrm>
          <a:off x="13896975" y="6486525"/>
          <a:ext cx="952500" cy="5334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TUP</a:t>
          </a:r>
        </a:p>
      </xdr:txBody>
    </xdr:sp>
    <xdr:clientData/>
  </xdr:twoCellAnchor>
  <xdr:twoCellAnchor>
    <xdr:from>
      <xdr:col>6</xdr:col>
      <xdr:colOff>381000</xdr:colOff>
      <xdr:row>19</xdr:row>
      <xdr:rowOff>123825</xdr:rowOff>
    </xdr:from>
    <xdr:to>
      <xdr:col>10</xdr:col>
      <xdr:colOff>19050</xdr:colOff>
      <xdr:row>24</xdr:row>
      <xdr:rowOff>47625</xdr:rowOff>
    </xdr:to>
    <xdr:sp macro="" textlink="">
      <xdr:nvSpPr>
        <xdr:cNvPr id="40" name="Retângulo: Cantos Arredondados 39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xmlns="" id="{48C1736A-E552-4DBC-BB5B-AC4948401975}"/>
            </a:ext>
          </a:extLst>
        </xdr:cNvPr>
        <xdr:cNvSpPr/>
      </xdr:nvSpPr>
      <xdr:spPr>
        <a:xfrm>
          <a:off x="4038600" y="3962400"/>
          <a:ext cx="2076450" cy="8763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Escolha do Reitor</a:t>
          </a:r>
        </a:p>
      </xdr:txBody>
    </xdr:sp>
    <xdr:clientData/>
  </xdr:twoCellAnchor>
  <xdr:twoCellAnchor>
    <xdr:from>
      <xdr:col>2</xdr:col>
      <xdr:colOff>361949</xdr:colOff>
      <xdr:row>20</xdr:row>
      <xdr:rowOff>9525</xdr:rowOff>
    </xdr:from>
    <xdr:to>
      <xdr:col>4</xdr:col>
      <xdr:colOff>352424</xdr:colOff>
      <xdr:row>23</xdr:row>
      <xdr:rowOff>161925</xdr:rowOff>
    </xdr:to>
    <xdr:sp macro="" textlink="">
      <xdr:nvSpPr>
        <xdr:cNvPr id="41" name="Retângulo: Cantos Arredondados 4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xmlns="" id="{1ABF1A8C-6EFE-401C-AC8A-338F1F3A0E98}"/>
            </a:ext>
          </a:extLst>
        </xdr:cNvPr>
        <xdr:cNvSpPr/>
      </xdr:nvSpPr>
      <xdr:spPr>
        <a:xfrm>
          <a:off x="1581149" y="3657600"/>
          <a:ext cx="1209675" cy="7239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Cálculo do TVC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25C83A7-752D-479F-A28F-26393E20EC52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1476374</xdr:colOff>
      <xdr:row>1</xdr:row>
      <xdr:rowOff>9524</xdr:rowOff>
    </xdr:from>
    <xdr:to>
      <xdr:col>8</xdr:col>
      <xdr:colOff>571499</xdr:colOff>
      <xdr:row>3</xdr:row>
      <xdr:rowOff>123824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5383D4B-A6A2-4624-9E90-04F568E84E4A}"/>
            </a:ext>
          </a:extLst>
        </xdr:cNvPr>
        <xdr:cNvSpPr/>
      </xdr:nvSpPr>
      <xdr:spPr>
        <a:xfrm>
          <a:off x="8810624" y="200024"/>
          <a:ext cx="2238375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9C96637-F4FC-4EA6-9C1B-6C8485F73FA0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0F33A03-4717-497F-B602-8A81D5B76A57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F31BBA8-6233-4614-A42E-1335222A31CE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5E67E6E-83B7-43F5-A4EE-AF7C65D6B002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50496B4-C9C5-4EF2-96CC-A41393D6BD4D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BC5D169-682F-4CDD-88EE-BAECA74F93A4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1476374</xdr:colOff>
      <xdr:row>1</xdr:row>
      <xdr:rowOff>9524</xdr:rowOff>
    </xdr:from>
    <xdr:to>
      <xdr:col>8</xdr:col>
      <xdr:colOff>571499</xdr:colOff>
      <xdr:row>3</xdr:row>
      <xdr:rowOff>123824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A7419F2-E6AC-40AB-ABA4-D9F57CA544E9}"/>
            </a:ext>
          </a:extLst>
        </xdr:cNvPr>
        <xdr:cNvSpPr/>
      </xdr:nvSpPr>
      <xdr:spPr>
        <a:xfrm>
          <a:off x="8810624" y="200024"/>
          <a:ext cx="2238375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D0BD233-D0B5-4B67-8E9B-1BAF0CB573E1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361950</xdr:colOff>
      <xdr:row>3</xdr:row>
      <xdr:rowOff>161925</xdr:rowOff>
    </xdr:from>
    <xdr:to>
      <xdr:col>17</xdr:col>
      <xdr:colOff>533399</xdr:colOff>
      <xdr:row>7</xdr:row>
      <xdr:rowOff>133350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F027970-10EF-4277-BCF7-023378C6F8D6}"/>
            </a:ext>
          </a:extLst>
        </xdr:cNvPr>
        <xdr:cNvSpPr/>
      </xdr:nvSpPr>
      <xdr:spPr>
        <a:xfrm>
          <a:off x="8896350" y="1000125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20DCE58-71AC-444F-918F-93299314E515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73A81CA-111D-4AC9-8C65-44A37C4167F7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B629476-450F-4BA2-A618-7E93B438E36A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086AC7D-86B8-4256-87B6-CDDF450B0AEF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5B9AD22-7E7B-451C-BE80-60B7CEDEFEAD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E3BF71F-E8D3-42EA-A494-66B45BBCF20A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26F3C53-249C-495B-8DD7-FCD75CA55E3E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1D1B3AC-E34E-45C9-9ECF-28FCC3837C65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DBAF2FA-79BF-4EB6-B87F-ED8C54C3E88B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44AAA4F-620F-44AE-8678-4264A42E21B9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0</xdr:row>
      <xdr:rowOff>180974</xdr:rowOff>
    </xdr:from>
    <xdr:to>
      <xdr:col>6</xdr:col>
      <xdr:colOff>57149</xdr:colOff>
      <xdr:row>3</xdr:row>
      <xdr:rowOff>104774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3E44EBB-5BAF-4C54-AA93-BBB345CE1D2A}"/>
            </a:ext>
          </a:extLst>
        </xdr:cNvPr>
        <xdr:cNvSpPr/>
      </xdr:nvSpPr>
      <xdr:spPr>
        <a:xfrm>
          <a:off x="7429500" y="180974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BB664AE-E872-483E-AB25-CC078311591C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8C998C6-7C3A-479B-B0DD-6D2A2F062AD0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1476374</xdr:colOff>
      <xdr:row>1</xdr:row>
      <xdr:rowOff>9524</xdr:rowOff>
    </xdr:from>
    <xdr:to>
      <xdr:col>8</xdr:col>
      <xdr:colOff>571499</xdr:colOff>
      <xdr:row>3</xdr:row>
      <xdr:rowOff>123824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963FA30-2CB1-4751-96F8-24D5F0D2A96C}"/>
            </a:ext>
          </a:extLst>
        </xdr:cNvPr>
        <xdr:cNvSpPr/>
      </xdr:nvSpPr>
      <xdr:spPr>
        <a:xfrm>
          <a:off x="8810624" y="200024"/>
          <a:ext cx="2238375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D4C6A3B-0D03-47D0-908C-2C9663AD16B9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137E39B-7690-4F79-9B30-580BF89EB852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FBFD65D-9466-4B5B-87BA-E6874F365B37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9108762-C6A1-426E-95AD-2D751B95EBC6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8C13BD0-3486-4847-9D2B-58B08151967D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865C2EF-9BAF-450C-8AFF-A80E0422482D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1476374</xdr:colOff>
      <xdr:row>1</xdr:row>
      <xdr:rowOff>9524</xdr:rowOff>
    </xdr:from>
    <xdr:to>
      <xdr:col>8</xdr:col>
      <xdr:colOff>571499</xdr:colOff>
      <xdr:row>3</xdr:row>
      <xdr:rowOff>123824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15F0F50-B4CE-4C06-82D2-BA02E064AEDB}"/>
            </a:ext>
          </a:extLst>
        </xdr:cNvPr>
        <xdr:cNvSpPr/>
      </xdr:nvSpPr>
      <xdr:spPr>
        <a:xfrm>
          <a:off x="8810624" y="200024"/>
          <a:ext cx="2238375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866849E-0261-4021-A4E5-BEF3A1B8F260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103A108-374D-4C11-A2B8-C7F1128B0ED0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BE3F43E-6701-488E-84F8-2312688CF3AC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1476374</xdr:colOff>
      <xdr:row>1</xdr:row>
      <xdr:rowOff>9524</xdr:rowOff>
    </xdr:from>
    <xdr:to>
      <xdr:col>8</xdr:col>
      <xdr:colOff>571499</xdr:colOff>
      <xdr:row>3</xdr:row>
      <xdr:rowOff>123824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1F9AFD4-958D-4F8E-ADC9-D97B732AD221}"/>
            </a:ext>
          </a:extLst>
        </xdr:cNvPr>
        <xdr:cNvSpPr/>
      </xdr:nvSpPr>
      <xdr:spPr>
        <a:xfrm>
          <a:off x="8810624" y="200024"/>
          <a:ext cx="2238375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19049</xdr:rowOff>
    </xdr:from>
    <xdr:to>
      <xdr:col>9</xdr:col>
      <xdr:colOff>95249</xdr:colOff>
      <xdr:row>3</xdr:row>
      <xdr:rowOff>133349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F2AA0C8-3286-4464-9CE1-DAE7658D67FD}"/>
            </a:ext>
          </a:extLst>
        </xdr:cNvPr>
        <xdr:cNvSpPr/>
      </xdr:nvSpPr>
      <xdr:spPr>
        <a:xfrm>
          <a:off x="7705725" y="2095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8DC98A9-F505-4ED6-8751-F90D7171A41D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167577E-E677-49FB-BD21-DFD726ADBC3E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95249</xdr:rowOff>
    </xdr:from>
    <xdr:to>
      <xdr:col>8</xdr:col>
      <xdr:colOff>1000124</xdr:colOff>
      <xdr:row>4</xdr:row>
      <xdr:rowOff>19049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6F5B615-4C49-4167-A811-9748330C12F8}"/>
            </a:ext>
          </a:extLst>
        </xdr:cNvPr>
        <xdr:cNvSpPr/>
      </xdr:nvSpPr>
      <xdr:spPr>
        <a:xfrm>
          <a:off x="8477250" y="285749"/>
          <a:ext cx="2000249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1476374</xdr:colOff>
      <xdr:row>1</xdr:row>
      <xdr:rowOff>9524</xdr:rowOff>
    </xdr:from>
    <xdr:to>
      <xdr:col>8</xdr:col>
      <xdr:colOff>571499</xdr:colOff>
      <xdr:row>3</xdr:row>
      <xdr:rowOff>123824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8FA1AEB-A22A-4E51-AAA5-12050368D85D}"/>
            </a:ext>
          </a:extLst>
        </xdr:cNvPr>
        <xdr:cNvSpPr/>
      </xdr:nvSpPr>
      <xdr:spPr>
        <a:xfrm>
          <a:off x="8810624" y="200024"/>
          <a:ext cx="2238375" cy="7715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Voltar para o</a:t>
          </a:r>
          <a:r>
            <a:rPr lang="pt-BR" sz="1800" b="1" baseline="0">
              <a:solidFill>
                <a:sysClr val="windowText" lastClr="000000"/>
              </a:solidFill>
            </a:rPr>
            <a:t> MENU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C000"/>
  </sheetPr>
  <dimension ref="A2:M36"/>
  <sheetViews>
    <sheetView workbookViewId="0">
      <selection activeCell="F20" sqref="F20"/>
    </sheetView>
  </sheetViews>
  <sheetFormatPr defaultRowHeight="15" x14ac:dyDescent="0.25"/>
  <cols>
    <col min="1" max="16384" width="9.140625" style="12"/>
  </cols>
  <sheetData>
    <row r="2" spans="1:13" ht="28.5" x14ac:dyDescent="0.25">
      <c r="B2" s="4" t="s">
        <v>766</v>
      </c>
    </row>
    <row r="3" spans="1:13" ht="18.75" x14ac:dyDescent="0.3">
      <c r="B3" s="36" t="s">
        <v>878</v>
      </c>
    </row>
    <row r="5" spans="1:13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3" x14ac:dyDescent="0.25">
      <c r="A6" s="35"/>
      <c r="B6" s="38" t="s">
        <v>879</v>
      </c>
      <c r="C6" s="35"/>
      <c r="D6" s="35"/>
      <c r="E6" s="35"/>
      <c r="F6" s="35"/>
      <c r="G6" s="35"/>
      <c r="H6" s="35"/>
      <c r="I6" s="35"/>
      <c r="J6" s="35"/>
    </row>
    <row r="7" spans="1:13" x14ac:dyDescent="0.25">
      <c r="A7" s="35"/>
      <c r="B7" s="35" t="s">
        <v>883</v>
      </c>
      <c r="C7" s="35"/>
      <c r="D7" s="35"/>
      <c r="E7" s="35"/>
      <c r="F7" s="35"/>
      <c r="G7" s="35"/>
      <c r="H7" s="35"/>
      <c r="I7" s="35"/>
      <c r="J7" s="35"/>
      <c r="M7" s="35"/>
    </row>
    <row r="8" spans="1:13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M8" s="35"/>
    </row>
    <row r="9" spans="1:13" x14ac:dyDescent="0.25">
      <c r="A9" s="35"/>
      <c r="B9" s="35" t="s">
        <v>881</v>
      </c>
      <c r="C9" s="35"/>
      <c r="D9" s="35"/>
      <c r="E9" s="35"/>
      <c r="F9" s="35"/>
      <c r="G9" s="35"/>
      <c r="H9" s="35"/>
      <c r="I9" s="35"/>
      <c r="J9" s="35"/>
      <c r="M9" s="35"/>
    </row>
    <row r="10" spans="1:13" x14ac:dyDescent="0.25">
      <c r="A10" s="35"/>
      <c r="B10" s="35" t="s">
        <v>884</v>
      </c>
      <c r="C10" s="35"/>
      <c r="D10" s="35"/>
      <c r="E10" s="35"/>
      <c r="F10" s="35"/>
      <c r="G10" s="35"/>
      <c r="H10" s="35"/>
      <c r="I10" s="35"/>
      <c r="J10" s="35"/>
      <c r="M10" s="35"/>
    </row>
    <row r="11" spans="1:13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M11" s="35"/>
    </row>
    <row r="12" spans="1:13" x14ac:dyDescent="0.25">
      <c r="A12" s="35"/>
      <c r="B12" s="35" t="s">
        <v>882</v>
      </c>
      <c r="C12" s="35"/>
      <c r="D12" s="35"/>
      <c r="E12" s="35"/>
      <c r="F12" s="35"/>
      <c r="G12" s="35"/>
      <c r="H12" s="35"/>
      <c r="I12" s="35"/>
      <c r="J12" s="35"/>
      <c r="M12" s="35"/>
    </row>
    <row r="13" spans="1:13" x14ac:dyDescent="0.25">
      <c r="A13" s="35"/>
      <c r="B13" s="35" t="s">
        <v>886</v>
      </c>
      <c r="C13" s="35"/>
      <c r="D13" s="35"/>
      <c r="E13" s="35"/>
      <c r="F13" s="35"/>
      <c r="G13" s="35"/>
      <c r="H13" s="35"/>
      <c r="I13" s="35"/>
      <c r="J13" s="35"/>
      <c r="M13" s="35"/>
    </row>
    <row r="14" spans="1:13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M14" s="35"/>
    </row>
    <row r="15" spans="1:13" x14ac:dyDescent="0.25">
      <c r="A15" s="35"/>
      <c r="B15" s="35" t="s">
        <v>885</v>
      </c>
      <c r="C15" s="35"/>
      <c r="D15" s="35"/>
      <c r="E15" s="35"/>
      <c r="F15" s="35"/>
      <c r="G15" s="35"/>
      <c r="H15" s="35"/>
      <c r="I15" s="35"/>
      <c r="J15" s="35"/>
      <c r="M15" s="35"/>
    </row>
    <row r="16" spans="1:13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M16" s="35"/>
    </row>
    <row r="17" spans="1:13" x14ac:dyDescent="0.25">
      <c r="A17" s="35"/>
      <c r="B17" s="35" t="s">
        <v>887</v>
      </c>
      <c r="C17" s="35"/>
      <c r="D17" s="35"/>
      <c r="J17" s="35"/>
      <c r="M17" s="35"/>
    </row>
    <row r="18" spans="1:13" x14ac:dyDescent="0.25">
      <c r="A18" s="35"/>
      <c r="B18" s="35"/>
      <c r="M18" s="35"/>
    </row>
    <row r="19" spans="1:13" x14ac:dyDescent="0.25">
      <c r="A19" s="35"/>
      <c r="B19" s="35"/>
      <c r="M19" s="35"/>
    </row>
    <row r="20" spans="1:13" x14ac:dyDescent="0.25">
      <c r="A20" s="35"/>
      <c r="B20" s="35"/>
      <c r="C20" s="35"/>
      <c r="D20" s="35"/>
      <c r="J20" s="35"/>
      <c r="M20" s="35"/>
    </row>
    <row r="21" spans="1:13" x14ac:dyDescent="0.25">
      <c r="A21" s="35"/>
      <c r="B21" s="35"/>
      <c r="C21" s="35"/>
      <c r="D21" s="35"/>
      <c r="J21" s="35"/>
      <c r="M21" s="35"/>
    </row>
    <row r="22" spans="1:13" x14ac:dyDescent="0.25">
      <c r="A22" s="35"/>
      <c r="B22" s="35"/>
      <c r="C22" s="35"/>
      <c r="D22" s="35"/>
      <c r="J22" s="35"/>
      <c r="M22" s="35"/>
    </row>
    <row r="23" spans="1:13" x14ac:dyDescent="0.25">
      <c r="A23" s="35"/>
      <c r="B23" s="35"/>
      <c r="C23" s="35"/>
      <c r="D23" s="35"/>
      <c r="J23" s="35"/>
      <c r="M23" s="35"/>
    </row>
    <row r="24" spans="1:13" x14ac:dyDescent="0.25">
      <c r="A24" s="35"/>
      <c r="B24" s="35"/>
      <c r="C24" s="35"/>
      <c r="D24" s="35"/>
      <c r="J24" s="35"/>
      <c r="M24" s="35"/>
    </row>
    <row r="25" spans="1:13" x14ac:dyDescent="0.25">
      <c r="A25" s="35"/>
      <c r="B25" s="35"/>
      <c r="C25" s="35"/>
      <c r="D25" s="35"/>
      <c r="J25" s="35"/>
      <c r="M25" s="35"/>
    </row>
    <row r="26" spans="1:13" x14ac:dyDescent="0.25">
      <c r="A26" s="35"/>
      <c r="B26" s="35"/>
      <c r="C26" s="35"/>
      <c r="D26" s="35"/>
      <c r="J26" s="35"/>
      <c r="M26" s="35"/>
    </row>
    <row r="27" spans="1:13" x14ac:dyDescent="0.25">
      <c r="A27" s="35"/>
      <c r="B27" s="35"/>
      <c r="C27" s="35"/>
      <c r="D27" s="35"/>
      <c r="J27" s="35"/>
      <c r="M27" s="35"/>
    </row>
    <row r="28" spans="1:13" x14ac:dyDescent="0.25">
      <c r="A28" s="35"/>
      <c r="B28" s="35"/>
      <c r="C28" s="35"/>
      <c r="D28" s="35"/>
      <c r="J28" s="35"/>
      <c r="M28" s="35"/>
    </row>
    <row r="29" spans="1:13" x14ac:dyDescent="0.25">
      <c r="A29" s="35"/>
      <c r="B29" s="35"/>
      <c r="C29" s="35"/>
      <c r="D29" s="35"/>
      <c r="J29" s="35"/>
      <c r="M29" s="35"/>
    </row>
    <row r="30" spans="1:13" x14ac:dyDescent="0.25">
      <c r="A30" s="35"/>
      <c r="B30" s="35"/>
      <c r="C30" s="35"/>
      <c r="D30" s="35"/>
      <c r="J30" s="35"/>
      <c r="M30" s="35"/>
    </row>
    <row r="31" spans="1:13" x14ac:dyDescent="0.25">
      <c r="A31" s="35"/>
      <c r="B31" s="35"/>
      <c r="C31" s="35"/>
      <c r="D31" s="35"/>
      <c r="J31" s="35"/>
      <c r="M31" s="35"/>
    </row>
    <row r="32" spans="1:13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M32" s="35"/>
    </row>
    <row r="33" spans="1:13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M33" s="35"/>
    </row>
    <row r="34" spans="1:13" x14ac:dyDescent="0.25">
      <c r="A34" s="35"/>
      <c r="B34" s="12" t="s">
        <v>880</v>
      </c>
      <c r="C34" s="35"/>
      <c r="D34" s="35"/>
      <c r="E34" s="35"/>
      <c r="F34" s="35"/>
      <c r="G34" s="35"/>
      <c r="H34" s="35"/>
      <c r="I34" s="35"/>
      <c r="J34" s="35"/>
      <c r="M34" s="35"/>
    </row>
    <row r="35" spans="1:13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M35" s="35"/>
    </row>
    <row r="36" spans="1:13" x14ac:dyDescent="0.25">
      <c r="M36" s="35"/>
    </row>
  </sheetData>
  <sheetProtection algorithmName="SHA-512" hashValue="j+3G1nqpvYdyksdzSnZm11Ov15bXphEfDIS+xmXdM5+AfuQ3Ud+E1iwKt34HyLG4Ekdjpw+XFfpHZUXzyXeusg==" saltValue="RBtyRexx1OzoXcmJKs+wPQ==" spinCount="100000" sheet="1" objects="1" scenarios="1" selectLockedCells="1"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9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Sorocaba</v>
      </c>
      <c r="H3" s="34">
        <v>30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Carlos Alberto Araripe</v>
      </c>
      <c r="E7" s="6" t="str">
        <f>VLOOKUP($H$3,campus!$A$2:$P$37,7)</f>
        <v>Denilson de Camargo Mirim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088</v>
      </c>
      <c r="C8" s="22" t="str">
        <f>VLOOKUP(3*$H$3-2,urnas!$B$6:$D$114,3)</f>
        <v>Docentes do Câmpus Sorocaba</v>
      </c>
      <c r="D8" s="17"/>
      <c r="E8" s="17"/>
      <c r="F8" s="17"/>
      <c r="G8" s="17"/>
      <c r="H8" s="8">
        <f>SUM(D8:G8)</f>
        <v>0</v>
      </c>
      <c r="I8" s="15">
        <f>VLOOKUP(B8,urnas!$C$6:$H$114,6)</f>
        <v>51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089</v>
      </c>
      <c r="C9" s="22" t="str">
        <f>VLOOKUP(3*$H$3-1,urnas!$B$6:$D$114,3)</f>
        <v>Discentes do Câmpus Sorocaba</v>
      </c>
      <c r="D9" s="17"/>
      <c r="E9" s="17"/>
      <c r="F9" s="17"/>
      <c r="G9" s="17"/>
      <c r="H9" s="8">
        <f>SUM(D9:G9)</f>
        <v>0</v>
      </c>
      <c r="I9" s="15">
        <f>VLOOKUP(B9,urnas!$C$6:$H$114,6)</f>
        <v>677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090</v>
      </c>
      <c r="C10" s="23" t="str">
        <f>VLOOKUP(3*$H$3,urnas!$B$6:$D$114,3)</f>
        <v>Técnicos Administrativos do Câmpus Sorocaba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40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Carlos Alberto Araripe</v>
      </c>
      <c r="E18" s="6" t="str">
        <f>VLOOKUP($H$3,campus!$A$2:$P$37,7)</f>
        <v>Denilson de Camargo Mirim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Carlos Alberto Araripe</v>
      </c>
      <c r="E23" s="2" t="str">
        <f>E18</f>
        <v>Denilson de Camargo Mirim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8"/>
  <dimension ref="A1:Q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6" width="25.7109375" style="1" customWidth="1"/>
    <col min="7" max="9" width="10.7109375" style="1" customWidth="1"/>
    <col min="10" max="10" width="18.5703125" style="1" bestFit="1" customWidth="1"/>
    <col min="11" max="16384" width="9.140625" style="1"/>
  </cols>
  <sheetData>
    <row r="1" spans="1:17" x14ac:dyDescent="0.25">
      <c r="A1" s="2">
        <v>1</v>
      </c>
    </row>
    <row r="2" spans="1:17" ht="28.5" x14ac:dyDescent="0.25">
      <c r="B2" s="4" t="s">
        <v>766</v>
      </c>
    </row>
    <row r="3" spans="1:17" ht="23.25" x14ac:dyDescent="0.25">
      <c r="B3" s="5" t="str">
        <f>_xlfn.CONCAT("Diretor Geral - Câmpus ",VLOOKUP($H$3,campus!$A$2:$C$38,3))</f>
        <v>Diretor Geral - Câmpus Sertãozinho</v>
      </c>
      <c r="H3" s="34">
        <v>29</v>
      </c>
    </row>
    <row r="5" spans="1:17" ht="15.75" thickBot="1" x14ac:dyDescent="0.3">
      <c r="M5" s="2">
        <f>LARGE(D22:F22,1)</f>
        <v>0</v>
      </c>
      <c r="N5" s="2">
        <f>LARGE(D22:F22,2)</f>
        <v>0</v>
      </c>
      <c r="O5" s="2">
        <f>LARGE(D22:F22,3)</f>
        <v>0</v>
      </c>
      <c r="P5" s="2"/>
      <c r="Q5" s="2"/>
    </row>
    <row r="6" spans="1:17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1"/>
      <c r="I6" s="55"/>
      <c r="J6" s="56" t="s">
        <v>839</v>
      </c>
      <c r="M6" s="2" t="s">
        <v>849</v>
      </c>
      <c r="N6" s="2" t="s">
        <v>850</v>
      </c>
      <c r="O6" s="2" t="s">
        <v>851</v>
      </c>
      <c r="P6" s="2"/>
      <c r="Q6" s="2"/>
    </row>
    <row r="7" spans="1:17" ht="51" customHeight="1" x14ac:dyDescent="0.25">
      <c r="B7" s="49"/>
      <c r="C7" s="54"/>
      <c r="D7" s="6" t="str">
        <f>VLOOKUP($H$3,campus!$A$2:$P$37,6)</f>
        <v>Lacyr João Sverzut</v>
      </c>
      <c r="E7" s="6" t="str">
        <f>VLOOKUP($H$3,campus!$A$2:$P$37,7)</f>
        <v>Paulo Sérgio Calefi</v>
      </c>
      <c r="F7" s="6" t="str">
        <f>VLOOKUP($H$3,campus!$A$2:$P$37,8)</f>
        <v>Reinaldo Golmia Dante</v>
      </c>
      <c r="G7" s="7" t="s">
        <v>768</v>
      </c>
      <c r="H7" s="7" t="s">
        <v>769</v>
      </c>
      <c r="I7" s="6" t="s">
        <v>844</v>
      </c>
      <c r="J7" s="57"/>
      <c r="M7" s="2"/>
      <c r="N7" s="2"/>
      <c r="O7" s="2"/>
      <c r="P7" s="2"/>
      <c r="Q7" s="2"/>
    </row>
    <row r="8" spans="1:17" ht="33.950000000000003" customHeight="1" x14ac:dyDescent="0.25">
      <c r="B8" s="9" t="str">
        <f>VLOOKUP(3*$H$3-2,urnas!$B$6:$D$114,2)</f>
        <v>Urna 085</v>
      </c>
      <c r="C8" s="22" t="str">
        <f>VLOOKUP(3*$H$3-2,urnas!$B$6:$D$114,3)</f>
        <v>Docentes do Câmpus Sertãozinho</v>
      </c>
      <c r="D8" s="17"/>
      <c r="E8" s="17"/>
      <c r="F8" s="17"/>
      <c r="G8" s="17"/>
      <c r="H8" s="17"/>
      <c r="I8" s="8">
        <f t="shared" ref="I8:I10" si="0">SUM(D8:H8)</f>
        <v>0</v>
      </c>
      <c r="J8" s="15">
        <f>VLOOKUP(B8,urnas!$C$6:$H$114,6)</f>
        <v>92</v>
      </c>
      <c r="M8" s="2"/>
      <c r="N8" s="2"/>
      <c r="O8" s="2"/>
      <c r="P8" s="2"/>
      <c r="Q8" s="2"/>
    </row>
    <row r="9" spans="1:17" ht="33.950000000000003" customHeight="1" x14ac:dyDescent="0.25">
      <c r="B9" s="9" t="str">
        <f>VLOOKUP(3*$H$3-1,urnas!$B$6:$D$114,2)</f>
        <v>Urna 086</v>
      </c>
      <c r="C9" s="22" t="str">
        <f>VLOOKUP(3*$H$3-1,urnas!$B$6:$D$114,3)</f>
        <v>Discentes do Câmpus Sertãozinho</v>
      </c>
      <c r="D9" s="17"/>
      <c r="E9" s="17"/>
      <c r="F9" s="17"/>
      <c r="G9" s="17"/>
      <c r="H9" s="17"/>
      <c r="I9" s="8">
        <f t="shared" si="0"/>
        <v>0</v>
      </c>
      <c r="J9" s="15">
        <f>VLOOKUP(B9,urnas!$C$6:$H$114,6)</f>
        <v>1247</v>
      </c>
      <c r="M9" s="2"/>
      <c r="N9" s="2"/>
      <c r="O9" s="2"/>
      <c r="P9" s="2"/>
      <c r="Q9" s="2"/>
    </row>
    <row r="10" spans="1:17" ht="33.950000000000003" customHeight="1" thickBot="1" x14ac:dyDescent="0.3">
      <c r="B10" s="10" t="str">
        <f>VLOOKUP(3*$H$3,urnas!$B$6:$D$114,2)</f>
        <v>Urna 087</v>
      </c>
      <c r="C10" s="23" t="str">
        <f>VLOOKUP(3*$H$3,urnas!$B$6:$D$114,3)</f>
        <v>Técnicos Administrativos do Câmpus Sertãozinho</v>
      </c>
      <c r="D10" s="17"/>
      <c r="E10" s="17"/>
      <c r="F10" s="17"/>
      <c r="G10" s="17"/>
      <c r="H10" s="17"/>
      <c r="I10" s="11">
        <f t="shared" si="0"/>
        <v>0</v>
      </c>
      <c r="J10" s="16">
        <f>VLOOKUP(B10,urnas!$C$6:$H$114,6)</f>
        <v>57</v>
      </c>
      <c r="M10" s="2"/>
      <c r="N10" s="2"/>
      <c r="O10" s="2"/>
      <c r="P10" s="2"/>
      <c r="Q10" s="2"/>
    </row>
    <row r="11" spans="1:17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I11" si="1">SUM(E8:E10)</f>
        <v>0</v>
      </c>
      <c r="F11" s="19">
        <f t="shared" si="1"/>
        <v>0</v>
      </c>
      <c r="G11" s="30">
        <f t="shared" si="1"/>
        <v>0</v>
      </c>
      <c r="H11" s="19">
        <f t="shared" si="1"/>
        <v>0</v>
      </c>
      <c r="I11" s="20">
        <f t="shared" si="1"/>
        <v>0</v>
      </c>
      <c r="J11" s="21"/>
    </row>
    <row r="15" spans="1:17" ht="21" x14ac:dyDescent="0.25">
      <c r="C15" s="3" t="s">
        <v>770</v>
      </c>
      <c r="I15" s="3" t="s">
        <v>856</v>
      </c>
    </row>
    <row r="16" spans="1:17" ht="15.75" thickBot="1" x14ac:dyDescent="0.3"/>
    <row r="17" spans="2:13" ht="24.95" customHeight="1" x14ac:dyDescent="0.25">
      <c r="B17" s="12"/>
      <c r="C17" s="48" t="s">
        <v>841</v>
      </c>
      <c r="D17" s="50" t="s">
        <v>840</v>
      </c>
      <c r="E17" s="51"/>
      <c r="F17" s="52"/>
      <c r="H17" s="21"/>
      <c r="I17" s="48" t="s">
        <v>840</v>
      </c>
      <c r="J17" s="53"/>
      <c r="K17" s="53"/>
      <c r="L17" s="53"/>
      <c r="M17" s="27" t="s">
        <v>848</v>
      </c>
    </row>
    <row r="18" spans="2:13" ht="51" customHeight="1" x14ac:dyDescent="0.25">
      <c r="B18" s="12"/>
      <c r="C18" s="49"/>
      <c r="D18" s="6" t="str">
        <f>VLOOKUP($H$3,campus!$A$2:$P$37,6)</f>
        <v>Lacyr João Sverzut</v>
      </c>
      <c r="E18" s="6" t="str">
        <f>VLOOKUP($H$3,campus!$A$2:$P$37,7)</f>
        <v>Paulo Sérgio Calefi</v>
      </c>
      <c r="F18" s="13" t="str">
        <f>VLOOKUP($H$3,campus!$A$2:$P$37,8)</f>
        <v>Reinaldo Golmia Dante</v>
      </c>
      <c r="H18" s="31" t="s">
        <v>852</v>
      </c>
      <c r="I18" s="58"/>
      <c r="J18" s="59"/>
      <c r="K18" s="59"/>
      <c r="L18" s="59"/>
      <c r="M18" s="28" t="str">
        <f>IF(COUNTA(D8:H10)=15,M5,"")</f>
        <v/>
      </c>
    </row>
    <row r="19" spans="2:13" ht="24.95" customHeight="1" x14ac:dyDescent="0.25">
      <c r="B19" s="12"/>
      <c r="C19" s="9" t="s">
        <v>842</v>
      </c>
      <c r="D19" s="32">
        <f>IF(ISBLANK(D8),0,100*(1/3*(D8/$J8)))</f>
        <v>0</v>
      </c>
      <c r="E19" s="32">
        <f t="shared" ref="E19:F19" si="2">IF(ISBLANK(E8),0,100*(1/3*(E8/$J8)))</f>
        <v>0</v>
      </c>
      <c r="F19" s="33">
        <f t="shared" si="2"/>
        <v>0</v>
      </c>
      <c r="H19" s="62" t="s">
        <v>853</v>
      </c>
      <c r="I19" s="58"/>
      <c r="J19" s="59"/>
      <c r="K19" s="59"/>
      <c r="L19" s="59"/>
      <c r="M19" s="63" t="str">
        <f>IF(COUNTA(D8:H10)=15,N5,"")</f>
        <v/>
      </c>
    </row>
    <row r="20" spans="2:13" ht="24.95" customHeight="1" x14ac:dyDescent="0.25">
      <c r="B20" s="12"/>
      <c r="C20" s="9" t="s">
        <v>843</v>
      </c>
      <c r="D20" s="32">
        <f t="shared" ref="D20:F21" si="3">IF(ISBLANK(D9),0,100*(1/3*(D9/$J9)))</f>
        <v>0</v>
      </c>
      <c r="E20" s="32">
        <f t="shared" si="3"/>
        <v>0</v>
      </c>
      <c r="F20" s="33">
        <f t="shared" si="3"/>
        <v>0</v>
      </c>
      <c r="H20" s="62"/>
      <c r="I20" s="58"/>
      <c r="J20" s="59"/>
      <c r="K20" s="59"/>
      <c r="L20" s="59"/>
      <c r="M20" s="63"/>
    </row>
    <row r="21" spans="2:13" ht="24.95" customHeight="1" x14ac:dyDescent="0.25">
      <c r="B21" s="12"/>
      <c r="C21" s="9" t="s">
        <v>51</v>
      </c>
      <c r="D21" s="32">
        <f t="shared" si="3"/>
        <v>0</v>
      </c>
      <c r="E21" s="32">
        <f t="shared" si="3"/>
        <v>0</v>
      </c>
      <c r="F21" s="33">
        <f t="shared" si="3"/>
        <v>0</v>
      </c>
      <c r="H21" s="62" t="s">
        <v>854</v>
      </c>
      <c r="I21" s="58"/>
      <c r="J21" s="59"/>
      <c r="K21" s="59"/>
      <c r="L21" s="59"/>
      <c r="M21" s="63" t="str">
        <f>IF(COUNTA(D8:H10)=15,O5,"")</f>
        <v/>
      </c>
    </row>
    <row r="22" spans="2:13" ht="16.5" thickBot="1" x14ac:dyDescent="0.3">
      <c r="C22" s="24" t="s">
        <v>848</v>
      </c>
      <c r="D22" s="25">
        <f>SUM(D19:D21)</f>
        <v>0</v>
      </c>
      <c r="E22" s="25">
        <f>SUM(E19:E21)</f>
        <v>0</v>
      </c>
      <c r="F22" s="26">
        <f>SUM(F19:F21)</f>
        <v>0</v>
      </c>
      <c r="H22" s="62"/>
      <c r="I22" s="60"/>
      <c r="J22" s="61"/>
      <c r="K22" s="61"/>
      <c r="L22" s="61"/>
      <c r="M22" s="64"/>
    </row>
    <row r="23" spans="2:13" x14ac:dyDescent="0.25">
      <c r="D23" s="2" t="str">
        <f>D18</f>
        <v>Lacyr João Sverzut</v>
      </c>
      <c r="E23" s="2" t="str">
        <f>E18</f>
        <v>Paulo Sérgio Calefi</v>
      </c>
      <c r="F23" s="2" t="str">
        <f>F18</f>
        <v>Reinaldo Golmia Dante</v>
      </c>
    </row>
    <row r="24" spans="2:13" ht="23.25" x14ac:dyDescent="0.25">
      <c r="H24" s="5" t="str">
        <f>IF(COUNTA(D8:H10)=15,IF(M18&gt;(M19+M21), "Eleição encerrada no primeiro turno.", "Haverá segundo turno entre os dois primeiro colocados"),"")</f>
        <v/>
      </c>
    </row>
    <row r="25" spans="2:13" ht="23.25" x14ac:dyDescent="0.25">
      <c r="H25" s="5" t="str">
        <f>IF(COUNTA(D9:H11)=15,"Em caso de empate utilizar os critérios elencados no código eleitoral","")</f>
        <v/>
      </c>
    </row>
    <row r="28" spans="2:13" ht="24.95" customHeight="1" x14ac:dyDescent="0.25"/>
    <row r="29" spans="2:13" ht="33.950000000000003" customHeight="1" x14ac:dyDescent="0.25"/>
    <row r="30" spans="2:13" ht="33.950000000000003" customHeight="1" x14ac:dyDescent="0.25"/>
    <row r="31" spans="2:13" ht="33.950000000000003" customHeight="1" x14ac:dyDescent="0.25"/>
  </sheetData>
  <sheetProtection sheet="1" objects="1" scenarios="1" selectLockedCells="1"/>
  <mergeCells count="14">
    <mergeCell ref="H19:H20"/>
    <mergeCell ref="I19:L20"/>
    <mergeCell ref="M19:M20"/>
    <mergeCell ref="H21:H22"/>
    <mergeCell ref="I21:L22"/>
    <mergeCell ref="M21:M22"/>
    <mergeCell ref="B6:B7"/>
    <mergeCell ref="C6:C7"/>
    <mergeCell ref="D6:I6"/>
    <mergeCell ref="J6:J7"/>
    <mergeCell ref="C17:C18"/>
    <mergeCell ref="D17:F17"/>
    <mergeCell ref="I17:L17"/>
    <mergeCell ref="I18:L18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7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São Roque</v>
      </c>
      <c r="H3" s="34">
        <v>28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Alequexandre Galvez de Andrade</v>
      </c>
      <c r="E7" s="6" t="str">
        <f>VLOOKUP($H$3,campus!$A$2:$P$37,7)</f>
        <v>Frank Viana de Carvalho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082</v>
      </c>
      <c r="C8" s="22" t="str">
        <f>VLOOKUP(3*$H$3-2,urnas!$B$6:$D$114,3)</f>
        <v>Docentes do Câmpus São Roque</v>
      </c>
      <c r="D8" s="17"/>
      <c r="E8" s="17"/>
      <c r="F8" s="17"/>
      <c r="G8" s="17"/>
      <c r="H8" s="8">
        <f>SUM(D8:G8)</f>
        <v>0</v>
      </c>
      <c r="I8" s="15">
        <f>VLOOKUP(B8,urnas!$C$6:$H$114,6)</f>
        <v>63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083</v>
      </c>
      <c r="C9" s="22" t="str">
        <f>VLOOKUP(3*$H$3-1,urnas!$B$6:$D$114,3)</f>
        <v>Discentes do Câmpus São Roque</v>
      </c>
      <c r="D9" s="17"/>
      <c r="E9" s="17"/>
      <c r="F9" s="17"/>
      <c r="G9" s="17"/>
      <c r="H9" s="8">
        <f>SUM(D9:G9)</f>
        <v>0</v>
      </c>
      <c r="I9" s="15">
        <f>VLOOKUP(B9,urnas!$C$6:$H$114,6)</f>
        <v>989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084</v>
      </c>
      <c r="C10" s="23" t="str">
        <f>VLOOKUP(3*$H$3,urnas!$B$6:$D$114,3)</f>
        <v>Técnicos Administrativos do Câmpus São Roque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34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Alequexandre Galvez de Andrade</v>
      </c>
      <c r="E18" s="6" t="str">
        <f>VLOOKUP($H$3,campus!$A$2:$P$37,7)</f>
        <v>Frank Viana de Carvalho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Alequexandre Galvez de Andrade</v>
      </c>
      <c r="E23" s="2" t="str">
        <f>E18</f>
        <v>Frank Viana de Carvalho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6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São Paulo</v>
      </c>
      <c r="H3" s="34">
        <v>27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Alberto Akio Shiga</v>
      </c>
      <c r="E7" s="6" t="str">
        <f>VLOOKUP($H$3,campus!$A$2:$P$37,7)</f>
        <v>Ricardo Rechi Aguiar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079</v>
      </c>
      <c r="C8" s="22" t="str">
        <f>VLOOKUP(3*$H$3-2,urnas!$B$6:$D$114,3)</f>
        <v>Docentes do Câmpus São Paulo</v>
      </c>
      <c r="D8" s="17"/>
      <c r="E8" s="17"/>
      <c r="F8" s="17"/>
      <c r="G8" s="17"/>
      <c r="H8" s="8">
        <f>SUM(D8:G8)</f>
        <v>0</v>
      </c>
      <c r="I8" s="15">
        <f>VLOOKUP(B8,urnas!$C$6:$H$114,6)</f>
        <v>352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080</v>
      </c>
      <c r="C9" s="22" t="str">
        <f>VLOOKUP(3*$H$3-1,urnas!$B$6:$D$114,3)</f>
        <v>Discentes do Câmpus São Paulo</v>
      </c>
      <c r="D9" s="17"/>
      <c r="E9" s="17"/>
      <c r="F9" s="17"/>
      <c r="G9" s="17"/>
      <c r="H9" s="8">
        <f>SUM(D9:G9)</f>
        <v>0</v>
      </c>
      <c r="I9" s="15">
        <f>VLOOKUP(B9,urnas!$C$6:$H$114,6)</f>
        <v>5412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081</v>
      </c>
      <c r="C10" s="23" t="str">
        <f>VLOOKUP(3*$H$3,urnas!$B$6:$D$114,3)</f>
        <v>Técnicos Administrativos do Câmpus São Paulo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181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Alberto Akio Shiga</v>
      </c>
      <c r="E18" s="6" t="str">
        <f>VLOOKUP($H$3,campus!$A$2:$P$37,7)</f>
        <v>Ricardo Rechi Aguiar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Alberto Akio Shiga</v>
      </c>
      <c r="E23" s="2" t="str">
        <f>E18</f>
        <v>Ricardo Rechi Aguiar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5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São José dos Campos</v>
      </c>
      <c r="H3" s="34">
        <v>26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Fernando Henrique Gomes de Souza</v>
      </c>
      <c r="E7" s="6" t="str">
        <f>VLOOKUP($H$3,campus!$A$2:$P$37,7)</f>
        <v>Valdeci Donizete Gonçalves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076</v>
      </c>
      <c r="C8" s="22" t="str">
        <f>VLOOKUP(3*$H$3-2,urnas!$B$6:$D$114,3)</f>
        <v>Docentes do Câmpus São José dos Campos</v>
      </c>
      <c r="D8" s="17"/>
      <c r="E8" s="17"/>
      <c r="F8" s="17"/>
      <c r="G8" s="17"/>
      <c r="H8" s="8">
        <f>SUM(D8:G8)</f>
        <v>0</v>
      </c>
      <c r="I8" s="15">
        <f>VLOOKUP(B8,urnas!$C$6:$H$114,6)</f>
        <v>73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077</v>
      </c>
      <c r="C9" s="22" t="str">
        <f>VLOOKUP(3*$H$3-1,urnas!$B$6:$D$114,3)</f>
        <v>Discentes do Câmpus São José dos Campos</v>
      </c>
      <c r="D9" s="17"/>
      <c r="E9" s="17"/>
      <c r="F9" s="17"/>
      <c r="G9" s="17"/>
      <c r="H9" s="8">
        <f>SUM(D9:G9)</f>
        <v>0</v>
      </c>
      <c r="I9" s="15">
        <f>VLOOKUP(B9,urnas!$C$6:$H$114,6)</f>
        <v>1064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078</v>
      </c>
      <c r="C10" s="23" t="str">
        <f>VLOOKUP(3*$H$3,urnas!$B$6:$D$114,3)</f>
        <v>Técnicos Administrativos do Câmpus São José dos Campos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44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Fernando Henrique Gomes de Souza</v>
      </c>
      <c r="E18" s="6" t="str">
        <f>VLOOKUP($H$3,campus!$A$2:$P$37,7)</f>
        <v>Valdeci Donizete Gonçalves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Fernando Henrique Gomes de Souza</v>
      </c>
      <c r="E23" s="2" t="str">
        <f>E18</f>
        <v>Valdeci Donizete Gonçalves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4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São João da Boa Vista</v>
      </c>
      <c r="H3" s="34">
        <v>25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Diego Cesar Valente e Silva</v>
      </c>
      <c r="E7" s="6" t="str">
        <f>VLOOKUP($H$3,campus!$A$2:$P$37,7)</f>
        <v>Menoti Borri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073</v>
      </c>
      <c r="C8" s="22" t="str">
        <f>VLOOKUP(3*$H$3-2,urnas!$B$6:$D$114,3)</f>
        <v>Docentes do Câmpus São João da Boa Vista</v>
      </c>
      <c r="D8" s="17"/>
      <c r="E8" s="17"/>
      <c r="F8" s="17"/>
      <c r="G8" s="17"/>
      <c r="H8" s="8">
        <f>SUM(D8:G8)</f>
        <v>0</v>
      </c>
      <c r="I8" s="15">
        <f>VLOOKUP(B8,urnas!$C$6:$H$114,6)</f>
        <v>72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074</v>
      </c>
      <c r="C9" s="22" t="str">
        <f>VLOOKUP(3*$H$3-1,urnas!$B$6:$D$114,3)</f>
        <v>Discentes do Câmpus São João da Boa Vista</v>
      </c>
      <c r="D9" s="17"/>
      <c r="E9" s="17"/>
      <c r="F9" s="17"/>
      <c r="G9" s="17"/>
      <c r="H9" s="8">
        <f>SUM(D9:G9)</f>
        <v>0</v>
      </c>
      <c r="I9" s="15">
        <f>VLOOKUP(B9,urnas!$C$6:$H$114,6)</f>
        <v>1156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075</v>
      </c>
      <c r="C10" s="23" t="str">
        <f>VLOOKUP(3*$H$3,urnas!$B$6:$D$114,3)</f>
        <v>Técnicos Administrativos do Câmpus São João da Boa Vista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50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Diego Cesar Valente e Silva</v>
      </c>
      <c r="E18" s="6" t="str">
        <f>VLOOKUP($H$3,campus!$A$2:$P$37,7)</f>
        <v>Menoti Borri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Diego Cesar Valente e Silva</v>
      </c>
      <c r="E23" s="2" t="str">
        <f>E18</f>
        <v>Menoti Borri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3"/>
  <dimension ref="A1:M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",VLOOKUP($H$3,campus!$A$2:$C$38,3))</f>
        <v>Diretor Geral - Câmpus São Carlos</v>
      </c>
      <c r="H3" s="34">
        <v>24</v>
      </c>
    </row>
    <row r="5" spans="1:13" ht="15.75" thickBot="1" x14ac:dyDescent="0.3">
      <c r="K5" s="2">
        <f>LARGE(D22:D22,1)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Rivelli da Silva Pinto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070</v>
      </c>
      <c r="C8" s="22" t="str">
        <f>VLOOKUP(3*$H$3-2,urnas!$B$6:$D$114,3)</f>
        <v>Docentes do Câmpus São Carlos</v>
      </c>
      <c r="D8" s="17"/>
      <c r="E8" s="17"/>
      <c r="F8" s="17"/>
      <c r="G8" s="8">
        <f>SUM(D8:F8)</f>
        <v>0</v>
      </c>
      <c r="H8" s="15">
        <f>VLOOKUP(B8,urnas!$C$6:$H$114,6)</f>
        <v>73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071</v>
      </c>
      <c r="C9" s="22" t="str">
        <f>VLOOKUP(3*$H$3-1,urnas!$B$6:$D$114,3)</f>
        <v>Discentes do Câmpus São Carlos</v>
      </c>
      <c r="D9" s="17"/>
      <c r="E9" s="17"/>
      <c r="F9" s="17"/>
      <c r="G9" s="8">
        <f>SUM(D9:F9)</f>
        <v>0</v>
      </c>
      <c r="H9" s="15">
        <f>VLOOKUP(B9,urnas!$C$6:$H$114,6)</f>
        <v>1229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072</v>
      </c>
      <c r="C10" s="23" t="str">
        <f>VLOOKUP(3*$H$3,urnas!$B$6:$D$114,3)</f>
        <v>Técnicos Administrativos do Câmpus São Carlos</v>
      </c>
      <c r="D10" s="17"/>
      <c r="E10" s="17"/>
      <c r="F10" s="17"/>
      <c r="G10" s="11">
        <f>SUM(D10:F10)</f>
        <v>0</v>
      </c>
      <c r="H10" s="16">
        <f>VLOOKUP(B10,urnas!$C$6:$H$114,6)</f>
        <v>40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Rivelli da Silva Pinto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842</v>
      </c>
      <c r="D19" s="32">
        <f>IF(ISBLANK(D8),0,100*(1/3*(D8/$H8)))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IF(ISBLANK(D9),0,100*(1/3*(D9/$H9)))</f>
        <v>0</v>
      </c>
      <c r="F20" s="5" t="str">
        <f>IF(COUNTA(D8:F10)=9,"Eleição encerrada no primeiro turno.","")</f>
        <v/>
      </c>
    </row>
    <row r="21" spans="2:11" ht="24.95" customHeight="1" x14ac:dyDescent="0.25">
      <c r="B21" s="12"/>
      <c r="C21" s="9" t="s">
        <v>51</v>
      </c>
      <c r="D21" s="32">
        <f>IF(ISBLANK(D10),0,100*(1/3*(D10/$H10)))</f>
        <v>0</v>
      </c>
      <c r="F21" s="5"/>
    </row>
    <row r="22" spans="2:11" ht="16.5" thickBot="1" x14ac:dyDescent="0.3">
      <c r="C22" s="24" t="s">
        <v>848</v>
      </c>
      <c r="D22" s="25">
        <f>SUM(D19:D21)</f>
        <v>0</v>
      </c>
    </row>
    <row r="23" spans="2:11" x14ac:dyDescent="0.25">
      <c r="D23" s="2" t="str">
        <f>D18</f>
        <v>Rivelli da Silva Pinto</v>
      </c>
    </row>
    <row r="28" spans="2:11" ht="24.95" customHeight="1" x14ac:dyDescent="0.25"/>
    <row r="29" spans="2:11" ht="33.950000000000003" customHeight="1" x14ac:dyDescent="0.25"/>
    <row r="30" spans="2:11" ht="33.950000000000003" customHeight="1" x14ac:dyDescent="0.25"/>
    <row r="31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2"/>
  <dimension ref="A1:M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",VLOOKUP($H$3,campus!$A$2:$C$38,3))</f>
        <v>Diretor Geral - Câmpus Salto</v>
      </c>
      <c r="H3" s="34">
        <v>23</v>
      </c>
    </row>
    <row r="5" spans="1:13" ht="15.75" thickBot="1" x14ac:dyDescent="0.3">
      <c r="K5" s="2">
        <f>LARGE(D22:D22,1)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Edilson Aparecido Bueno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067</v>
      </c>
      <c r="C8" s="22" t="str">
        <f>VLOOKUP(3*$H$3-2,urnas!$B$6:$D$114,3)</f>
        <v>Docentes do Câmpus Salto</v>
      </c>
      <c r="D8" s="17"/>
      <c r="E8" s="17"/>
      <c r="F8" s="17"/>
      <c r="G8" s="8">
        <f>SUM(D8:F8)</f>
        <v>0</v>
      </c>
      <c r="H8" s="15">
        <f>VLOOKUP(B8,urnas!$C$6:$H$114,6)</f>
        <v>69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068</v>
      </c>
      <c r="C9" s="22" t="str">
        <f>VLOOKUP(3*$H$3-1,urnas!$B$6:$D$114,3)</f>
        <v>Discentes do Câmpus Salto</v>
      </c>
      <c r="D9" s="17"/>
      <c r="E9" s="17"/>
      <c r="F9" s="17"/>
      <c r="G9" s="8">
        <f>SUM(D9:F9)</f>
        <v>0</v>
      </c>
      <c r="H9" s="15">
        <f>VLOOKUP(B9,urnas!$C$6:$H$114,6)</f>
        <v>943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069</v>
      </c>
      <c r="C10" s="23" t="str">
        <f>VLOOKUP(3*$H$3,urnas!$B$6:$D$114,3)</f>
        <v>Técnicos Administrativos do Câmpus Salto</v>
      </c>
      <c r="D10" s="17"/>
      <c r="E10" s="17"/>
      <c r="F10" s="17"/>
      <c r="G10" s="11">
        <f>SUM(D10:F10)</f>
        <v>0</v>
      </c>
      <c r="H10" s="16">
        <f>VLOOKUP(B10,urnas!$C$6:$H$114,6)</f>
        <v>46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Edilson Aparecido Bueno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842</v>
      </c>
      <c r="D19" s="32">
        <f>IF(ISBLANK(D8),0,100*(1/3*(D8/$H8)))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IF(ISBLANK(D9),0,100*(1/3*(D9/$H9)))</f>
        <v>0</v>
      </c>
      <c r="F20" s="5" t="str">
        <f>IF(COUNTA(D8:F10)=9,"Eleição encerrada no primeiro turno.","")</f>
        <v/>
      </c>
    </row>
    <row r="21" spans="2:11" ht="24.95" customHeight="1" x14ac:dyDescent="0.25">
      <c r="B21" s="12"/>
      <c r="C21" s="9" t="s">
        <v>51</v>
      </c>
      <c r="D21" s="32">
        <f>IF(ISBLANK(D10),0,100*(1/3*(D10/$H10)))</f>
        <v>0</v>
      </c>
      <c r="F21" s="5"/>
    </row>
    <row r="22" spans="2:11" ht="16.5" thickBot="1" x14ac:dyDescent="0.3">
      <c r="C22" s="24" t="s">
        <v>848</v>
      </c>
      <c r="D22" s="25">
        <f>SUM(D19:D21)</f>
        <v>0</v>
      </c>
    </row>
    <row r="23" spans="2:11" x14ac:dyDescent="0.25">
      <c r="D23" s="2" t="str">
        <f>D18</f>
        <v>Edilson Aparecido Bueno</v>
      </c>
    </row>
    <row r="28" spans="2:11" ht="24.95" customHeight="1" x14ac:dyDescent="0.25"/>
    <row r="29" spans="2:11" ht="33.950000000000003" customHeight="1" x14ac:dyDescent="0.25"/>
    <row r="30" spans="2:11" ht="33.950000000000003" customHeight="1" x14ac:dyDescent="0.25"/>
    <row r="31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1"/>
  <dimension ref="A1:Q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6" width="25.7109375" style="1" customWidth="1"/>
    <col min="7" max="9" width="10.7109375" style="1" customWidth="1"/>
    <col min="10" max="10" width="18.5703125" style="1" bestFit="1" customWidth="1"/>
    <col min="11" max="16384" width="9.140625" style="1"/>
  </cols>
  <sheetData>
    <row r="1" spans="1:17" x14ac:dyDescent="0.25">
      <c r="A1" s="2">
        <v>1</v>
      </c>
    </row>
    <row r="2" spans="1:17" ht="28.5" x14ac:dyDescent="0.25">
      <c r="B2" s="4" t="s">
        <v>766</v>
      </c>
    </row>
    <row r="3" spans="1:17" ht="23.25" x14ac:dyDescent="0.25">
      <c r="B3" s="5" t="str">
        <f>_xlfn.CONCAT("Diretor Geral - Câmpus ",VLOOKUP($H$3,campus!$A$2:$C$38,3))</f>
        <v>Diretor Geral - Câmpus Registro</v>
      </c>
      <c r="H3" s="34">
        <v>22</v>
      </c>
    </row>
    <row r="5" spans="1:17" ht="15.75" thickBot="1" x14ac:dyDescent="0.3">
      <c r="M5" s="2">
        <f>LARGE(D22:F22,1)</f>
        <v>0</v>
      </c>
      <c r="N5" s="2">
        <f>LARGE(D22:F22,2)</f>
        <v>0</v>
      </c>
      <c r="O5" s="2">
        <f>LARGE(D22:F22,3)</f>
        <v>0</v>
      </c>
      <c r="P5" s="2"/>
      <c r="Q5" s="2"/>
    </row>
    <row r="6" spans="1:17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1"/>
      <c r="I6" s="55"/>
      <c r="J6" s="56" t="s">
        <v>839</v>
      </c>
      <c r="M6" s="2" t="s">
        <v>849</v>
      </c>
      <c r="N6" s="2" t="s">
        <v>850</v>
      </c>
      <c r="O6" s="2" t="s">
        <v>851</v>
      </c>
      <c r="P6" s="2"/>
      <c r="Q6" s="2"/>
    </row>
    <row r="7" spans="1:17" ht="51" customHeight="1" x14ac:dyDescent="0.25">
      <c r="B7" s="49"/>
      <c r="C7" s="54"/>
      <c r="D7" s="6" t="str">
        <f>VLOOKUP($H$3,campus!$A$2:$P$37,6)</f>
        <v>Anibal Takeshiro Fukamati</v>
      </c>
      <c r="E7" s="6" t="str">
        <f>VLOOKUP($H$3,campus!$A$2:$P$37,7)</f>
        <v>José Roberto Herrera Cantorani</v>
      </c>
      <c r="F7" s="6" t="str">
        <f>VLOOKUP($H$3,campus!$A$2:$P$37,8)</f>
        <v>Ofélia Maria Marcondes</v>
      </c>
      <c r="G7" s="7" t="s">
        <v>768</v>
      </c>
      <c r="H7" s="7" t="s">
        <v>769</v>
      </c>
      <c r="I7" s="6" t="s">
        <v>844</v>
      </c>
      <c r="J7" s="57"/>
      <c r="M7" s="2"/>
      <c r="N7" s="2"/>
      <c r="O7" s="2"/>
      <c r="P7" s="2"/>
      <c r="Q7" s="2"/>
    </row>
    <row r="8" spans="1:17" ht="33.950000000000003" customHeight="1" x14ac:dyDescent="0.25">
      <c r="B8" s="9" t="str">
        <f>VLOOKUP(3*$H$3-2,urnas!$B$6:$D$114,2)</f>
        <v>Urna 064</v>
      </c>
      <c r="C8" s="22" t="str">
        <f>VLOOKUP(3*$H$3-2,urnas!$B$6:$D$114,3)</f>
        <v>Docentes do Câmpus Registro</v>
      </c>
      <c r="D8" s="17"/>
      <c r="E8" s="17"/>
      <c r="F8" s="17"/>
      <c r="G8" s="17"/>
      <c r="H8" s="17"/>
      <c r="I8" s="8">
        <f t="shared" ref="I8:I10" si="0">SUM(D8:H8)</f>
        <v>0</v>
      </c>
      <c r="J8" s="15">
        <f>VLOOKUP(B8,urnas!$C$6:$H$114,6)</f>
        <v>70</v>
      </c>
      <c r="M8" s="2"/>
      <c r="N8" s="2"/>
      <c r="O8" s="2"/>
      <c r="P8" s="2"/>
      <c r="Q8" s="2"/>
    </row>
    <row r="9" spans="1:17" ht="33.950000000000003" customHeight="1" x14ac:dyDescent="0.25">
      <c r="B9" s="9" t="str">
        <f>VLOOKUP(3*$H$3-1,urnas!$B$6:$D$114,2)</f>
        <v>Urna 065</v>
      </c>
      <c r="C9" s="22" t="str">
        <f>VLOOKUP(3*$H$3-1,urnas!$B$6:$D$114,3)</f>
        <v>Discentes do Câmpus Registro</v>
      </c>
      <c r="D9" s="17"/>
      <c r="E9" s="17"/>
      <c r="F9" s="17"/>
      <c r="G9" s="17"/>
      <c r="H9" s="17"/>
      <c r="I9" s="8">
        <f t="shared" si="0"/>
        <v>0</v>
      </c>
      <c r="J9" s="15">
        <f>VLOOKUP(B9,urnas!$C$6:$H$114,6)</f>
        <v>794</v>
      </c>
      <c r="M9" s="2"/>
      <c r="N9" s="2"/>
      <c r="O9" s="2"/>
      <c r="P9" s="2"/>
      <c r="Q9" s="2"/>
    </row>
    <row r="10" spans="1:17" ht="33.950000000000003" customHeight="1" thickBot="1" x14ac:dyDescent="0.3">
      <c r="B10" s="10" t="str">
        <f>VLOOKUP(3*$H$3,urnas!$B$6:$D$114,2)</f>
        <v>Urna 066</v>
      </c>
      <c r="C10" s="23" t="str">
        <f>VLOOKUP(3*$H$3,urnas!$B$6:$D$114,3)</f>
        <v>Técnicos Administrativos do Câmpus Registro</v>
      </c>
      <c r="D10" s="17"/>
      <c r="E10" s="17"/>
      <c r="F10" s="17"/>
      <c r="G10" s="17"/>
      <c r="H10" s="17"/>
      <c r="I10" s="11">
        <f t="shared" si="0"/>
        <v>0</v>
      </c>
      <c r="J10" s="16">
        <f>VLOOKUP(B10,urnas!$C$6:$H$114,6)</f>
        <v>42</v>
      </c>
      <c r="M10" s="2"/>
      <c r="N10" s="2"/>
      <c r="O10" s="2"/>
      <c r="P10" s="2"/>
      <c r="Q10" s="2"/>
    </row>
    <row r="11" spans="1:17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I11" si="1">SUM(E8:E10)</f>
        <v>0</v>
      </c>
      <c r="F11" s="19">
        <f t="shared" si="1"/>
        <v>0</v>
      </c>
      <c r="G11" s="30">
        <f t="shared" si="1"/>
        <v>0</v>
      </c>
      <c r="H11" s="19">
        <f t="shared" si="1"/>
        <v>0</v>
      </c>
      <c r="I11" s="20">
        <f t="shared" si="1"/>
        <v>0</v>
      </c>
      <c r="J11" s="21"/>
    </row>
    <row r="15" spans="1:17" ht="21" x14ac:dyDescent="0.25">
      <c r="C15" s="3" t="s">
        <v>770</v>
      </c>
      <c r="I15" s="3" t="s">
        <v>856</v>
      </c>
    </row>
    <row r="16" spans="1:17" ht="15.75" thickBot="1" x14ac:dyDescent="0.3"/>
    <row r="17" spans="2:13" ht="24.95" customHeight="1" x14ac:dyDescent="0.25">
      <c r="B17" s="12"/>
      <c r="C17" s="48" t="s">
        <v>841</v>
      </c>
      <c r="D17" s="50" t="s">
        <v>840</v>
      </c>
      <c r="E17" s="51"/>
      <c r="F17" s="52"/>
      <c r="H17" s="21"/>
      <c r="I17" s="48" t="s">
        <v>840</v>
      </c>
      <c r="J17" s="53"/>
      <c r="K17" s="53"/>
      <c r="L17" s="53"/>
      <c r="M17" s="27" t="s">
        <v>848</v>
      </c>
    </row>
    <row r="18" spans="2:13" ht="51" customHeight="1" x14ac:dyDescent="0.25">
      <c r="B18" s="12"/>
      <c r="C18" s="49"/>
      <c r="D18" s="6" t="str">
        <f>VLOOKUP($H$3,campus!$A$2:$P$37,6)</f>
        <v>Anibal Takeshiro Fukamati</v>
      </c>
      <c r="E18" s="6" t="str">
        <f>VLOOKUP($H$3,campus!$A$2:$P$37,7)</f>
        <v>José Roberto Herrera Cantorani</v>
      </c>
      <c r="F18" s="13" t="str">
        <f>VLOOKUP($H$3,campus!$A$2:$P$37,8)</f>
        <v>Ofélia Maria Marcondes</v>
      </c>
      <c r="H18" s="31" t="s">
        <v>852</v>
      </c>
      <c r="I18" s="58"/>
      <c r="J18" s="59"/>
      <c r="K18" s="59"/>
      <c r="L18" s="59"/>
      <c r="M18" s="28" t="str">
        <f>IF(COUNTA(D8:H10)=15,M5,"")</f>
        <v/>
      </c>
    </row>
    <row r="19" spans="2:13" ht="24.95" customHeight="1" x14ac:dyDescent="0.25">
      <c r="B19" s="12"/>
      <c r="C19" s="9" t="s">
        <v>842</v>
      </c>
      <c r="D19" s="32">
        <f>IF(ISBLANK(D8),0,100*(1/3*(D8/$J8)))</f>
        <v>0</v>
      </c>
      <c r="E19" s="32">
        <f t="shared" ref="E19:F19" si="2">IF(ISBLANK(E8),0,100*(1/3*(E8/$J8)))</f>
        <v>0</v>
      </c>
      <c r="F19" s="33">
        <f t="shared" si="2"/>
        <v>0</v>
      </c>
      <c r="H19" s="62" t="s">
        <v>853</v>
      </c>
      <c r="I19" s="58"/>
      <c r="J19" s="59"/>
      <c r="K19" s="59"/>
      <c r="L19" s="59"/>
      <c r="M19" s="63" t="str">
        <f>IF(COUNTA(D8:H10)=15,N5,"")</f>
        <v/>
      </c>
    </row>
    <row r="20" spans="2:13" ht="24.95" customHeight="1" x14ac:dyDescent="0.25">
      <c r="B20" s="12"/>
      <c r="C20" s="9" t="s">
        <v>843</v>
      </c>
      <c r="D20" s="32">
        <f t="shared" ref="D20:F21" si="3">IF(ISBLANK(D9),0,100*(1/3*(D9/$J9)))</f>
        <v>0</v>
      </c>
      <c r="E20" s="32">
        <f t="shared" si="3"/>
        <v>0</v>
      </c>
      <c r="F20" s="33">
        <f t="shared" si="3"/>
        <v>0</v>
      </c>
      <c r="H20" s="62"/>
      <c r="I20" s="58"/>
      <c r="J20" s="59"/>
      <c r="K20" s="59"/>
      <c r="L20" s="59"/>
      <c r="M20" s="63"/>
    </row>
    <row r="21" spans="2:13" ht="24.95" customHeight="1" x14ac:dyDescent="0.25">
      <c r="B21" s="12"/>
      <c r="C21" s="9" t="s">
        <v>51</v>
      </c>
      <c r="D21" s="32">
        <f t="shared" si="3"/>
        <v>0</v>
      </c>
      <c r="E21" s="32">
        <f t="shared" si="3"/>
        <v>0</v>
      </c>
      <c r="F21" s="33">
        <f t="shared" si="3"/>
        <v>0</v>
      </c>
      <c r="H21" s="62" t="s">
        <v>854</v>
      </c>
      <c r="I21" s="58"/>
      <c r="J21" s="59"/>
      <c r="K21" s="59"/>
      <c r="L21" s="59"/>
      <c r="M21" s="63" t="str">
        <f>IF(COUNTA(D8:H10)=15,O5,"")</f>
        <v/>
      </c>
    </row>
    <row r="22" spans="2:13" ht="16.5" thickBot="1" x14ac:dyDescent="0.3">
      <c r="C22" s="24" t="s">
        <v>848</v>
      </c>
      <c r="D22" s="25">
        <f>SUM(D19:D21)</f>
        <v>0</v>
      </c>
      <c r="E22" s="25">
        <f>SUM(E19:E21)</f>
        <v>0</v>
      </c>
      <c r="F22" s="26">
        <f>SUM(F19:F21)</f>
        <v>0</v>
      </c>
      <c r="H22" s="62"/>
      <c r="I22" s="60"/>
      <c r="J22" s="61"/>
      <c r="K22" s="61"/>
      <c r="L22" s="61"/>
      <c r="M22" s="64"/>
    </row>
    <row r="23" spans="2:13" x14ac:dyDescent="0.25">
      <c r="D23" s="2" t="str">
        <f>D18</f>
        <v>Anibal Takeshiro Fukamati</v>
      </c>
      <c r="E23" s="2" t="str">
        <f>E18</f>
        <v>José Roberto Herrera Cantorani</v>
      </c>
      <c r="F23" s="2" t="str">
        <f>F18</f>
        <v>Ofélia Maria Marcondes</v>
      </c>
    </row>
    <row r="24" spans="2:13" ht="23.25" x14ac:dyDescent="0.25">
      <c r="H24" s="5" t="str">
        <f>IF(COUNTA(D8:H10)=15,IF(M18&gt;(M19+M21), "Eleição encerrada no primeiro turno.", "Haverá segundo turno entre os dois primeiro colocados"),"")</f>
        <v/>
      </c>
    </row>
    <row r="25" spans="2:13" ht="23.25" x14ac:dyDescent="0.25">
      <c r="H25" s="5" t="str">
        <f>IF(COUNTA(D9:H11)=15,"Em caso de empate utilizar os critérios elencados no código eleitoral","")</f>
        <v/>
      </c>
    </row>
    <row r="28" spans="2:13" ht="24.95" customHeight="1" x14ac:dyDescent="0.25"/>
    <row r="29" spans="2:13" ht="33.950000000000003" customHeight="1" x14ac:dyDescent="0.25"/>
    <row r="30" spans="2:13" ht="33.950000000000003" customHeight="1" x14ac:dyDescent="0.25"/>
    <row r="31" spans="2:13" ht="33.950000000000003" customHeight="1" x14ac:dyDescent="0.25"/>
  </sheetData>
  <sheetProtection sheet="1" objects="1" scenarios="1" selectLockedCells="1"/>
  <mergeCells count="14">
    <mergeCell ref="H19:H20"/>
    <mergeCell ref="I19:L20"/>
    <mergeCell ref="M19:M20"/>
    <mergeCell ref="H21:H22"/>
    <mergeCell ref="I21:L22"/>
    <mergeCell ref="M21:M22"/>
    <mergeCell ref="B6:B7"/>
    <mergeCell ref="C6:C7"/>
    <mergeCell ref="D6:I6"/>
    <mergeCell ref="J6:J7"/>
    <mergeCell ref="C17:C18"/>
    <mergeCell ref="D17:F17"/>
    <mergeCell ref="I17:L17"/>
    <mergeCell ref="I18:L18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0"/>
  <dimension ref="A1:M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",VLOOKUP($H$3,campus!$A$2:$C$38,3))</f>
        <v>Diretor Geral - Câmpus Presidente Epitácio</v>
      </c>
      <c r="H3" s="34">
        <v>21</v>
      </c>
    </row>
    <row r="5" spans="1:13" ht="15.75" thickBot="1" x14ac:dyDescent="0.3">
      <c r="K5" s="2">
        <f>LARGE(D22:D22,1)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Alexandre Ataide Carniato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061</v>
      </c>
      <c r="C8" s="22" t="str">
        <f>VLOOKUP(3*$H$3-2,urnas!$B$6:$D$114,3)</f>
        <v>Docentes do Câmpus Presidente Epitácio</v>
      </c>
      <c r="D8" s="17"/>
      <c r="E8" s="17"/>
      <c r="F8" s="17"/>
      <c r="G8" s="8">
        <f>SUM(D8:F8)</f>
        <v>0</v>
      </c>
      <c r="H8" s="15">
        <f>VLOOKUP(B8,urnas!$C$6:$H$114,6)</f>
        <v>67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062</v>
      </c>
      <c r="C9" s="22" t="str">
        <f>VLOOKUP(3*$H$3-1,urnas!$B$6:$D$114,3)</f>
        <v>Discentes do Câmpus Presidente Epitácio</v>
      </c>
      <c r="D9" s="17"/>
      <c r="E9" s="17"/>
      <c r="F9" s="17"/>
      <c r="G9" s="8">
        <f>SUM(D9:F9)</f>
        <v>0</v>
      </c>
      <c r="H9" s="15">
        <f>VLOOKUP(B9,urnas!$C$6:$H$114,6)</f>
        <v>970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063</v>
      </c>
      <c r="C10" s="23" t="str">
        <f>VLOOKUP(3*$H$3,urnas!$B$6:$D$114,3)</f>
        <v>Técnicos Administrativos do Câmpus Presidente Epitácio</v>
      </c>
      <c r="D10" s="17"/>
      <c r="E10" s="17"/>
      <c r="F10" s="17"/>
      <c r="G10" s="11">
        <f>SUM(D10:F10)</f>
        <v>0</v>
      </c>
      <c r="H10" s="16">
        <f>VLOOKUP(B10,urnas!$C$6:$H$114,6)</f>
        <v>41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Alexandre Ataide Carniato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842</v>
      </c>
      <c r="D19" s="32">
        <f>IF(ISBLANK(D8),0,100*(1/3*(D8/$H8)))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IF(ISBLANK(D9),0,100*(1/3*(D9/$H9)))</f>
        <v>0</v>
      </c>
      <c r="F20" s="5" t="str">
        <f>IF(COUNTA(D8:F10)=9,"Eleição encerrada no primeiro turno.","")</f>
        <v/>
      </c>
    </row>
    <row r="21" spans="2:11" ht="24.95" customHeight="1" x14ac:dyDescent="0.25">
      <c r="B21" s="12"/>
      <c r="C21" s="9" t="s">
        <v>51</v>
      </c>
      <c r="D21" s="32">
        <f>IF(ISBLANK(D10),0,100*(1/3*(D10/$H10)))</f>
        <v>0</v>
      </c>
      <c r="F21" s="5"/>
    </row>
    <row r="22" spans="2:11" ht="16.5" thickBot="1" x14ac:dyDescent="0.3">
      <c r="C22" s="24" t="s">
        <v>848</v>
      </c>
      <c r="D22" s="25">
        <f>SUM(D19:D21)</f>
        <v>0</v>
      </c>
    </row>
    <row r="23" spans="2:11" x14ac:dyDescent="0.25">
      <c r="D23" s="2" t="str">
        <f>D18</f>
        <v>Alexandre Ataide Carniato</v>
      </c>
    </row>
    <row r="28" spans="2:11" ht="24.95" customHeight="1" x14ac:dyDescent="0.25"/>
    <row r="29" spans="2:11" ht="33.950000000000003" customHeight="1" x14ac:dyDescent="0.25"/>
    <row r="30" spans="2:11" ht="33.950000000000003" customHeight="1" x14ac:dyDescent="0.25"/>
    <row r="31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B2:B37"/>
  <sheetViews>
    <sheetView workbookViewId="0">
      <selection activeCell="F20" sqref="F20"/>
    </sheetView>
  </sheetViews>
  <sheetFormatPr defaultRowHeight="15" x14ac:dyDescent="0.25"/>
  <cols>
    <col min="1" max="16384" width="9.140625" style="35"/>
  </cols>
  <sheetData>
    <row r="2" spans="2:2" ht="36" x14ac:dyDescent="0.55000000000000004">
      <c r="B2" s="40" t="s">
        <v>12</v>
      </c>
    </row>
    <row r="4" spans="2:2" ht="23.25" x14ac:dyDescent="0.35">
      <c r="B4" s="39" t="s">
        <v>858</v>
      </c>
    </row>
    <row r="5" spans="2:2" ht="9.75" customHeight="1" x14ac:dyDescent="0.25"/>
    <row r="6" spans="2:2" x14ac:dyDescent="0.25">
      <c r="B6" s="38" t="s">
        <v>860</v>
      </c>
    </row>
    <row r="7" spans="2:2" x14ac:dyDescent="0.25">
      <c r="B7" s="38" t="s">
        <v>861</v>
      </c>
    </row>
    <row r="9" spans="2:2" ht="21" x14ac:dyDescent="0.35">
      <c r="B9" s="37" t="s">
        <v>4</v>
      </c>
    </row>
    <row r="11" spans="2:2" x14ac:dyDescent="0.25">
      <c r="B11" s="38" t="s">
        <v>862</v>
      </c>
    </row>
    <row r="12" spans="2:2" x14ac:dyDescent="0.25">
      <c r="B12" s="38" t="s">
        <v>0</v>
      </c>
    </row>
    <row r="13" spans="2:2" x14ac:dyDescent="0.25">
      <c r="B13" s="38" t="s">
        <v>1</v>
      </c>
    </row>
    <row r="14" spans="2:2" x14ac:dyDescent="0.25">
      <c r="B14" s="38" t="s">
        <v>2</v>
      </c>
    </row>
    <row r="15" spans="2:2" x14ac:dyDescent="0.25">
      <c r="B15" s="38" t="s">
        <v>3</v>
      </c>
    </row>
    <row r="16" spans="2:2" x14ac:dyDescent="0.25">
      <c r="B16" s="38" t="s">
        <v>5</v>
      </c>
    </row>
    <row r="17" spans="2:2" x14ac:dyDescent="0.25">
      <c r="B17" s="38" t="s">
        <v>6</v>
      </c>
    </row>
    <row r="18" spans="2:2" x14ac:dyDescent="0.25">
      <c r="B18" s="38" t="s">
        <v>7</v>
      </c>
    </row>
    <row r="22" spans="2:2" ht="23.25" x14ac:dyDescent="0.35">
      <c r="B22" s="39" t="s">
        <v>859</v>
      </c>
    </row>
    <row r="23" spans="2:2" ht="8.25" customHeight="1" x14ac:dyDescent="0.35">
      <c r="B23" s="39"/>
    </row>
    <row r="24" spans="2:2" x14ac:dyDescent="0.25">
      <c r="B24" s="38" t="s">
        <v>13</v>
      </c>
    </row>
    <row r="25" spans="2:2" x14ac:dyDescent="0.25">
      <c r="B25" s="38" t="s">
        <v>863</v>
      </c>
    </row>
    <row r="26" spans="2:2" x14ac:dyDescent="0.25">
      <c r="B26" s="38"/>
    </row>
    <row r="27" spans="2:2" ht="21" x14ac:dyDescent="0.35">
      <c r="B27" s="37" t="s">
        <v>8</v>
      </c>
    </row>
    <row r="28" spans="2:2" x14ac:dyDescent="0.25">
      <c r="B28" s="38"/>
    </row>
    <row r="29" spans="2:2" x14ac:dyDescent="0.25">
      <c r="B29" s="38" t="s">
        <v>862</v>
      </c>
    </row>
    <row r="30" spans="2:2" x14ac:dyDescent="0.25">
      <c r="B30" s="38" t="s">
        <v>0</v>
      </c>
    </row>
    <row r="31" spans="2:2" x14ac:dyDescent="0.25">
      <c r="B31" s="38" t="s">
        <v>1</v>
      </c>
    </row>
    <row r="32" spans="2:2" x14ac:dyDescent="0.25">
      <c r="B32" s="38" t="s">
        <v>2</v>
      </c>
    </row>
    <row r="33" spans="2:2" x14ac:dyDescent="0.25">
      <c r="B33" s="38" t="s">
        <v>3</v>
      </c>
    </row>
    <row r="34" spans="2:2" x14ac:dyDescent="0.25">
      <c r="B34" s="38" t="s">
        <v>9</v>
      </c>
    </row>
    <row r="35" spans="2:2" x14ac:dyDescent="0.25">
      <c r="B35" s="38" t="s">
        <v>10</v>
      </c>
    </row>
    <row r="36" spans="2:2" x14ac:dyDescent="0.25">
      <c r="B36" s="38" t="s">
        <v>11</v>
      </c>
    </row>
    <row r="37" spans="2:2" x14ac:dyDescent="0.25">
      <c r="B37" s="38"/>
    </row>
  </sheetData>
  <sheetProtection algorithmName="SHA-512" hashValue="DZhtVtUYoBRCB5BUL7Ke7jQuqIDunlt1Sr5jQegeuQA28Hh+P4FWeiqtTIibA7EiqLihnm7BFSk58ZovDs5oSg==" saltValue="AircFlBW9ygjQouENYWcdQ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9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São Paulo-Pirituba</v>
      </c>
      <c r="H3" s="34">
        <v>20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Alan Marques da Silva</v>
      </c>
      <c r="E7" s="6" t="str">
        <f>VLOOKUP($H$3,campus!$A$2:$P$37,7)</f>
        <v>Luciano Henrique Trindade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058</v>
      </c>
      <c r="C8" s="22" t="str">
        <f>VLOOKUP(3*$H$3-2,urnas!$B$6:$D$114,3)</f>
        <v>Docentes do Câmpus São Paulo-Pirituba</v>
      </c>
      <c r="D8" s="17"/>
      <c r="E8" s="17"/>
      <c r="F8" s="17"/>
      <c r="G8" s="17"/>
      <c r="H8" s="8">
        <f>SUM(D8:G8)</f>
        <v>0</v>
      </c>
      <c r="I8" s="15">
        <f>VLOOKUP(B8,urnas!$C$6:$H$114,6)</f>
        <v>69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059</v>
      </c>
      <c r="C9" s="22" t="str">
        <f>VLOOKUP(3*$H$3-1,urnas!$B$6:$D$114,3)</f>
        <v>Discentes do Câmpus São Paulo-Pirituba</v>
      </c>
      <c r="D9" s="17"/>
      <c r="E9" s="17"/>
      <c r="F9" s="17"/>
      <c r="G9" s="17"/>
      <c r="H9" s="8">
        <f>SUM(D9:G9)</f>
        <v>0</v>
      </c>
      <c r="I9" s="15">
        <f>VLOOKUP(B9,urnas!$C$6:$H$114,6)</f>
        <v>983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060</v>
      </c>
      <c r="C10" s="23" t="str">
        <f>VLOOKUP(3*$H$3,urnas!$B$6:$D$114,3)</f>
        <v>Técnicos Administrativos do Câmpus São Paulo-Pirituba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37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Alan Marques da Silva</v>
      </c>
      <c r="E18" s="6" t="str">
        <f>VLOOKUP($H$3,campus!$A$2:$P$37,7)</f>
        <v>Luciano Henrique Trindade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Alan Marques da Silva</v>
      </c>
      <c r="E23" s="2" t="str">
        <f>E18</f>
        <v>Luciano Henrique Trindade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Piracicaba</v>
      </c>
      <c r="H3" s="34">
        <v>19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Aguinaldo Luiz de Barros Lorandi</v>
      </c>
      <c r="E7" s="6" t="str">
        <f>VLOOKUP($H$3,campus!$A$2:$P$37,7)</f>
        <v>Alexandre Silva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055</v>
      </c>
      <c r="C8" s="22" t="str">
        <f>VLOOKUP(3*$H$3-2,urnas!$B$6:$D$114,3)</f>
        <v>Docentes do Câmpus Piracicaba</v>
      </c>
      <c r="D8" s="17"/>
      <c r="E8" s="17"/>
      <c r="F8" s="17"/>
      <c r="G8" s="17"/>
      <c r="H8" s="8">
        <f>SUM(D8:G8)</f>
        <v>0</v>
      </c>
      <c r="I8" s="15">
        <f>VLOOKUP(B8,urnas!$C$6:$H$114,6)</f>
        <v>76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056</v>
      </c>
      <c r="C9" s="22" t="str">
        <f>VLOOKUP(3*$H$3-1,urnas!$B$6:$D$114,3)</f>
        <v>Discentes do Câmpus Piracicaba</v>
      </c>
      <c r="D9" s="17"/>
      <c r="E9" s="17"/>
      <c r="F9" s="17"/>
      <c r="G9" s="17"/>
      <c r="H9" s="8">
        <f>SUM(D9:G9)</f>
        <v>0</v>
      </c>
      <c r="I9" s="15">
        <f>VLOOKUP(B9,urnas!$C$6:$H$114,6)</f>
        <v>1296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057</v>
      </c>
      <c r="C10" s="23" t="str">
        <f>VLOOKUP(3*$H$3,urnas!$B$6:$D$114,3)</f>
        <v>Técnicos Administrativos do Câmpus Piracicaba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44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Aguinaldo Luiz de Barros Lorandi</v>
      </c>
      <c r="E18" s="6" t="str">
        <f>VLOOKUP($H$3,campus!$A$2:$P$37,7)</f>
        <v>Alexandre Silva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Aguinaldo Luiz de Barros Lorandi</v>
      </c>
      <c r="E23" s="2" t="str">
        <f>E18</f>
        <v>Alexandre Silva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Matão</v>
      </c>
      <c r="H3" s="34">
        <v>18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Alecio Rodrigues de Oliveira</v>
      </c>
      <c r="E7" s="6" t="str">
        <f>VLOOKUP($H$3,campus!$A$2:$P$37,7)</f>
        <v>Claudemir Mariotti Junior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052</v>
      </c>
      <c r="C8" s="22" t="str">
        <f>VLOOKUP(3*$H$3-2,urnas!$B$6:$D$114,3)</f>
        <v>Docentes do Câmpus Matão</v>
      </c>
      <c r="D8" s="17"/>
      <c r="E8" s="17"/>
      <c r="F8" s="17"/>
      <c r="G8" s="17"/>
      <c r="H8" s="8">
        <f>SUM(D8:G8)</f>
        <v>0</v>
      </c>
      <c r="I8" s="15">
        <f>VLOOKUP(B8,urnas!$C$6:$H$114,6)</f>
        <v>68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053</v>
      </c>
      <c r="C9" s="22" t="str">
        <f>VLOOKUP(3*$H$3-1,urnas!$B$6:$D$114,3)</f>
        <v>Discentes do Câmpus Matão</v>
      </c>
      <c r="D9" s="17"/>
      <c r="E9" s="17"/>
      <c r="F9" s="17"/>
      <c r="G9" s="17"/>
      <c r="H9" s="8">
        <f>SUM(D9:G9)</f>
        <v>0</v>
      </c>
      <c r="I9" s="15">
        <f>VLOOKUP(B9,urnas!$C$6:$H$114,6)</f>
        <v>973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054</v>
      </c>
      <c r="C10" s="23" t="str">
        <f>VLOOKUP(3*$H$3,urnas!$B$6:$D$114,3)</f>
        <v>Técnicos Administrativos do Câmpus Matão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43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Alecio Rodrigues de Oliveira</v>
      </c>
      <c r="E18" s="6" t="str">
        <f>VLOOKUP($H$3,campus!$A$2:$P$37,7)</f>
        <v>Claudemir Mariotti Junior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Alecio Rodrigues de Oliveira</v>
      </c>
      <c r="E23" s="2" t="str">
        <f>E18</f>
        <v>Claudemir Mariotti Junior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1:M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",VLOOKUP($H$3,campus!$A$2:$C$38,3))</f>
        <v>Diretor Geral - Câmpus Jacareí</v>
      </c>
      <c r="H3" s="34">
        <v>17</v>
      </c>
    </row>
    <row r="5" spans="1:13" ht="15.75" thickBot="1" x14ac:dyDescent="0.3">
      <c r="K5" s="2">
        <f>LARGE(D22:D22,1)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Wagner Ferraz Castro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049</v>
      </c>
      <c r="C8" s="22" t="str">
        <f>VLOOKUP(3*$H$3-2,urnas!$B$6:$D$114,3)</f>
        <v>Docentes do Câmpus Jacareí</v>
      </c>
      <c r="D8" s="17"/>
      <c r="E8" s="17"/>
      <c r="F8" s="17"/>
      <c r="G8" s="8">
        <f>SUM(D8:F8)</f>
        <v>0</v>
      </c>
      <c r="H8" s="15">
        <f>VLOOKUP(B8,urnas!$C$6:$H$114,6)</f>
        <v>69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050</v>
      </c>
      <c r="C9" s="22" t="str">
        <f>VLOOKUP(3*$H$3-1,urnas!$B$6:$D$114,3)</f>
        <v>Discentes do Câmpus Jacareí</v>
      </c>
      <c r="D9" s="17"/>
      <c r="E9" s="17"/>
      <c r="F9" s="17"/>
      <c r="G9" s="8">
        <f>SUM(D9:F9)</f>
        <v>0</v>
      </c>
      <c r="H9" s="15">
        <f>VLOOKUP(B9,urnas!$C$6:$H$114,6)</f>
        <v>1141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051</v>
      </c>
      <c r="C10" s="23" t="str">
        <f>VLOOKUP(3*$H$3,urnas!$B$6:$D$114,3)</f>
        <v>Técnicos Administrativos do Câmpus Jacareí</v>
      </c>
      <c r="D10" s="17"/>
      <c r="E10" s="17"/>
      <c r="F10" s="17"/>
      <c r="G10" s="11">
        <f>SUM(D10:F10)</f>
        <v>0</v>
      </c>
      <c r="H10" s="16">
        <f>VLOOKUP(B10,urnas!$C$6:$H$114,6)</f>
        <v>40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Wagner Ferraz Castro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842</v>
      </c>
      <c r="D19" s="32">
        <f>IF(ISBLANK(D8),0,100*(1/3*(D8/$H8)))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IF(ISBLANK(D9),0,100*(1/3*(D9/$H9)))</f>
        <v>0</v>
      </c>
      <c r="F20" s="5" t="str">
        <f>IF(COUNTA(D8:F10)=9,"Eleição encerrada no primeiro turno.","")</f>
        <v/>
      </c>
    </row>
    <row r="21" spans="2:11" ht="24.95" customHeight="1" x14ac:dyDescent="0.25">
      <c r="B21" s="12"/>
      <c r="C21" s="9" t="s">
        <v>51</v>
      </c>
      <c r="D21" s="32">
        <f>IF(ISBLANK(D10),0,100*(1/3*(D10/$H10)))</f>
        <v>0</v>
      </c>
      <c r="F21" s="5"/>
    </row>
    <row r="22" spans="2:11" ht="16.5" thickBot="1" x14ac:dyDescent="0.3">
      <c r="C22" s="24" t="s">
        <v>848</v>
      </c>
      <c r="D22" s="25">
        <f>SUM(D19:D21)</f>
        <v>0</v>
      </c>
    </row>
    <row r="23" spans="2:11" x14ac:dyDescent="0.25">
      <c r="D23" s="2" t="str">
        <f>D18</f>
        <v>Wagner Ferraz Castro</v>
      </c>
    </row>
    <row r="28" spans="2:11" ht="24.95" customHeight="1" x14ac:dyDescent="0.25"/>
    <row r="29" spans="2:11" ht="33.950000000000003" customHeight="1" x14ac:dyDescent="0.25"/>
    <row r="30" spans="2:11" ht="33.950000000000003" customHeight="1" x14ac:dyDescent="0.25"/>
    <row r="31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5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Itaquaquecetuba</v>
      </c>
      <c r="H3" s="34">
        <v>16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Anderson Alves Esteves</v>
      </c>
      <c r="E7" s="6" t="str">
        <f>VLOOKUP($H$3,campus!$A$2:$P$37,7)</f>
        <v>Aumir Antunes Graciano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046</v>
      </c>
      <c r="C8" s="22" t="str">
        <f>VLOOKUP(3*$H$3-2,urnas!$B$6:$D$114,3)</f>
        <v>Docentes do Câmpus Itaquaquecetuba</v>
      </c>
      <c r="D8" s="17"/>
      <c r="E8" s="17"/>
      <c r="F8" s="17"/>
      <c r="G8" s="17"/>
      <c r="H8" s="8">
        <f>SUM(D8:G8)</f>
        <v>0</v>
      </c>
      <c r="I8" s="15">
        <f>VLOOKUP(B8,urnas!$C$6:$H$114,6)</f>
        <v>53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047</v>
      </c>
      <c r="C9" s="22" t="str">
        <f>VLOOKUP(3*$H$3-1,urnas!$B$6:$D$114,3)</f>
        <v>Discentes do Câmpus Itaquaquecetuba</v>
      </c>
      <c r="D9" s="17"/>
      <c r="E9" s="17"/>
      <c r="F9" s="17"/>
      <c r="G9" s="17"/>
      <c r="H9" s="8">
        <f>SUM(D9:G9)</f>
        <v>0</v>
      </c>
      <c r="I9" s="15">
        <f>VLOOKUP(B9,urnas!$C$6:$H$114,6)</f>
        <v>450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048</v>
      </c>
      <c r="C10" s="23" t="str">
        <f>VLOOKUP(3*$H$3,urnas!$B$6:$D$114,3)</f>
        <v>Técnicos Administrativos do Câmpus Itaquaquecetuba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30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Anderson Alves Esteves</v>
      </c>
      <c r="E18" s="6" t="str">
        <f>VLOOKUP($H$3,campus!$A$2:$P$37,7)</f>
        <v>Aumir Antunes Graciano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Anderson Alves Esteves</v>
      </c>
      <c r="E23" s="2" t="str">
        <f>E18</f>
        <v>Aumir Antunes Graciano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M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",VLOOKUP($H$3,campus!$A$2:$C$38,3))</f>
        <v>Diretor Geral - Câmpus Itapetininga</v>
      </c>
      <c r="H3" s="34">
        <v>15</v>
      </c>
    </row>
    <row r="5" spans="1:13" ht="15.75" thickBot="1" x14ac:dyDescent="0.3">
      <c r="K5" s="2">
        <f>LARGE(D22:D22,1)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Ragnar Orlando Hammarstrom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043</v>
      </c>
      <c r="C8" s="22" t="str">
        <f>VLOOKUP(3*$H$3-2,urnas!$B$6:$D$114,3)</f>
        <v>Docentes do Câmpus Itapetininga</v>
      </c>
      <c r="D8" s="17"/>
      <c r="E8" s="17"/>
      <c r="F8" s="17"/>
      <c r="G8" s="8">
        <f>SUM(D8:F8)</f>
        <v>0</v>
      </c>
      <c r="H8" s="15">
        <f>VLOOKUP(B8,urnas!$C$6:$H$114,6)</f>
        <v>70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044</v>
      </c>
      <c r="C9" s="22" t="str">
        <f>VLOOKUP(3*$H$3-1,urnas!$B$6:$D$114,3)</f>
        <v>Discentes do Câmpus Itapetininga</v>
      </c>
      <c r="D9" s="17"/>
      <c r="E9" s="17"/>
      <c r="F9" s="17"/>
      <c r="G9" s="8">
        <f>SUM(D9:F9)</f>
        <v>0</v>
      </c>
      <c r="H9" s="15">
        <f>VLOOKUP(B9,urnas!$C$6:$H$114,6)</f>
        <v>1000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045</v>
      </c>
      <c r="C10" s="23" t="str">
        <f>VLOOKUP(3*$H$3,urnas!$B$6:$D$114,3)</f>
        <v>Técnicos Administrativos do Câmpus Itapetininga</v>
      </c>
      <c r="D10" s="17"/>
      <c r="E10" s="17"/>
      <c r="F10" s="17"/>
      <c r="G10" s="11">
        <f>SUM(D10:F10)</f>
        <v>0</v>
      </c>
      <c r="H10" s="16">
        <f>VLOOKUP(B10,urnas!$C$6:$H$114,6)</f>
        <v>43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Ragnar Orlando Hammarstrom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842</v>
      </c>
      <c r="D19" s="32">
        <f>IF(ISBLANK(D8),0,100*(1/3*(D8/$H8)))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IF(ISBLANK(D9),0,100*(1/3*(D9/$H9)))</f>
        <v>0</v>
      </c>
      <c r="F20" s="5" t="str">
        <f>IF(COUNTA(D8:F10)=9,"Eleição encerrada no primeiro turno.","")</f>
        <v/>
      </c>
    </row>
    <row r="21" spans="2:11" ht="24.95" customHeight="1" x14ac:dyDescent="0.25">
      <c r="B21" s="12"/>
      <c r="C21" s="9" t="s">
        <v>51</v>
      </c>
      <c r="D21" s="32">
        <f>IF(ISBLANK(D10),0,100*(1/3*(D10/$H10)))</f>
        <v>0</v>
      </c>
      <c r="F21" s="5"/>
    </row>
    <row r="22" spans="2:11" ht="16.5" thickBot="1" x14ac:dyDescent="0.3">
      <c r="C22" s="24" t="s">
        <v>848</v>
      </c>
      <c r="D22" s="25">
        <f>SUM(D19:D21)</f>
        <v>0</v>
      </c>
    </row>
    <row r="23" spans="2:11" x14ac:dyDescent="0.25">
      <c r="D23" s="2" t="str">
        <f>D18</f>
        <v>Ragnar Orlando Hammarstrom</v>
      </c>
    </row>
    <row r="28" spans="2:11" ht="24.95" customHeight="1" x14ac:dyDescent="0.25"/>
    <row r="29" spans="2:11" ht="33.950000000000003" customHeight="1" x14ac:dyDescent="0.25"/>
    <row r="30" spans="2:11" ht="33.950000000000003" customHeight="1" x14ac:dyDescent="0.25"/>
    <row r="31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Hortolândia</v>
      </c>
      <c r="H3" s="34">
        <v>14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Caroline Felipe Jango da Silva</v>
      </c>
      <c r="E7" s="6" t="str">
        <f>VLOOKUP($H$3,campus!$A$2:$P$37,7)</f>
        <v>Isaias Mendes de Oliveira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040</v>
      </c>
      <c r="C8" s="22" t="str">
        <f>VLOOKUP(3*$H$3-2,urnas!$B$6:$D$114,3)</f>
        <v>Docentes do Câmpus Hortolândia</v>
      </c>
      <c r="D8" s="17"/>
      <c r="E8" s="17"/>
      <c r="F8" s="17"/>
      <c r="G8" s="17"/>
      <c r="H8" s="8">
        <f>SUM(D8:G8)</f>
        <v>0</v>
      </c>
      <c r="I8" s="15">
        <f>VLOOKUP(B8,urnas!$C$6:$H$114,6)</f>
        <v>71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041</v>
      </c>
      <c r="C9" s="22" t="str">
        <f>VLOOKUP(3*$H$3-1,urnas!$B$6:$D$114,3)</f>
        <v>Discentes do Câmpus Hortolândia</v>
      </c>
      <c r="D9" s="17"/>
      <c r="E9" s="17"/>
      <c r="F9" s="17"/>
      <c r="G9" s="17"/>
      <c r="H9" s="8">
        <f>SUM(D9:G9)</f>
        <v>0</v>
      </c>
      <c r="I9" s="15">
        <f>VLOOKUP(B9,urnas!$C$6:$H$114,6)</f>
        <v>897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042</v>
      </c>
      <c r="C10" s="23" t="str">
        <f>VLOOKUP(3*$H$3,urnas!$B$6:$D$114,3)</f>
        <v>Técnicos Administrativos do Câmpus Hortolândia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42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Caroline Felipe Jango da Silva</v>
      </c>
      <c r="E18" s="6" t="str">
        <f>VLOOKUP($H$3,campus!$A$2:$P$37,7)</f>
        <v>Isaias Mendes de Oliveira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Caroline Felipe Jango da Silva</v>
      </c>
      <c r="E23" s="2" t="str">
        <f>E18</f>
        <v>Isaias Mendes de Oliveira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Guarulhos</v>
      </c>
      <c r="H3" s="34">
        <v>13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Joel Dias Saade</v>
      </c>
      <c r="E7" s="6" t="str">
        <f>VLOOKUP($H$3,campus!$A$2:$P$37,7)</f>
        <v>Ricardo Agostinho de Rezende Júnior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037</v>
      </c>
      <c r="C8" s="22" t="str">
        <f>VLOOKUP(3*$H$3-2,urnas!$B$6:$D$114,3)</f>
        <v>Docentes do Câmpus Guarulhos</v>
      </c>
      <c r="D8" s="17"/>
      <c r="E8" s="17"/>
      <c r="F8" s="17"/>
      <c r="G8" s="17"/>
      <c r="H8" s="8">
        <f>SUM(D8:G8)</f>
        <v>0</v>
      </c>
      <c r="I8" s="15">
        <f>VLOOKUP(B8,urnas!$C$6:$H$114,6)</f>
        <v>74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038</v>
      </c>
      <c r="C9" s="22" t="str">
        <f>VLOOKUP(3*$H$3-1,urnas!$B$6:$D$114,3)</f>
        <v>Discentes do Câmpus Guarulhos</v>
      </c>
      <c r="D9" s="17"/>
      <c r="E9" s="17"/>
      <c r="F9" s="17"/>
      <c r="G9" s="17"/>
      <c r="H9" s="8">
        <f>SUM(D9:G9)</f>
        <v>0</v>
      </c>
      <c r="I9" s="15">
        <f>VLOOKUP(B9,urnas!$C$6:$H$114,6)</f>
        <v>1139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039</v>
      </c>
      <c r="C10" s="23" t="str">
        <f>VLOOKUP(3*$H$3,urnas!$B$6:$D$114,3)</f>
        <v>Técnicos Administrativos do Câmpus Guarulhos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44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Joel Dias Saade</v>
      </c>
      <c r="E18" s="6" t="str">
        <f>VLOOKUP($H$3,campus!$A$2:$P$37,7)</f>
        <v>Ricardo Agostinho de Rezende Júnior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Joel Dias Saade</v>
      </c>
      <c r="E23" s="2" t="str">
        <f>E18</f>
        <v>Ricardo Agostinho de Rezende Júnior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Cubatão</v>
      </c>
      <c r="H3" s="34">
        <v>12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Artarxerxes Tiago Tácito Modesto</v>
      </c>
      <c r="E7" s="6" t="str">
        <f>VLOOKUP($H$3,campus!$A$2:$P$37,7)</f>
        <v>Elaine Cristina Araujo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034</v>
      </c>
      <c r="C8" s="22" t="str">
        <f>VLOOKUP(3*$H$3-2,urnas!$B$6:$D$114,3)</f>
        <v>Docentes do Câmpus Cubatão</v>
      </c>
      <c r="D8" s="17"/>
      <c r="E8" s="17"/>
      <c r="F8" s="17"/>
      <c r="G8" s="17"/>
      <c r="H8" s="8">
        <f>SUM(D8:G8)</f>
        <v>0</v>
      </c>
      <c r="I8" s="15">
        <f>VLOOKUP(B8,urnas!$C$6:$H$114,6)</f>
        <v>86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035</v>
      </c>
      <c r="C9" s="22" t="str">
        <f>VLOOKUP(3*$H$3-1,urnas!$B$6:$D$114,3)</f>
        <v>Discentes do Câmpus Cubatão</v>
      </c>
      <c r="D9" s="17"/>
      <c r="E9" s="17"/>
      <c r="F9" s="17"/>
      <c r="G9" s="17"/>
      <c r="H9" s="8">
        <f>SUM(D9:G9)</f>
        <v>0</v>
      </c>
      <c r="I9" s="15">
        <f>VLOOKUP(B9,urnas!$C$6:$H$114,6)</f>
        <v>1498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036</v>
      </c>
      <c r="C10" s="23" t="str">
        <f>VLOOKUP(3*$H$3,urnas!$B$6:$D$114,3)</f>
        <v>Técnicos Administrativos do Câmpus Cubatão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69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Artarxerxes Tiago Tácito Modesto</v>
      </c>
      <c r="E18" s="6" t="str">
        <f>VLOOKUP($H$3,campus!$A$2:$P$37,7)</f>
        <v>Elaine Cristina Araujo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Artarxerxes Tiago Tácito Modesto</v>
      </c>
      <c r="E23" s="2" t="str">
        <f>E18</f>
        <v>Elaine Cristina Araujo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Catanduva</v>
      </c>
      <c r="H3" s="34">
        <v>11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Daniel Corrêa Lobato</v>
      </c>
      <c r="E7" s="6" t="str">
        <f>VLOOKUP($H$3,campus!$A$2:$P$37,7)</f>
        <v>Marcelo Velloso Heeren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031</v>
      </c>
      <c r="C8" s="22" t="str">
        <f>VLOOKUP(3*$H$3-2,urnas!$B$6:$D$114,3)</f>
        <v>Docentes do Câmpus Catanduva</v>
      </c>
      <c r="D8" s="17"/>
      <c r="E8" s="17"/>
      <c r="F8" s="17"/>
      <c r="G8" s="17"/>
      <c r="H8" s="8">
        <f>SUM(D8:G8)</f>
        <v>0</v>
      </c>
      <c r="I8" s="15">
        <f>VLOOKUP(B8,urnas!$C$6:$H$114,6)</f>
        <v>68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032</v>
      </c>
      <c r="C9" s="22" t="str">
        <f>VLOOKUP(3*$H$3-1,urnas!$B$6:$D$114,3)</f>
        <v>Discentes do Câmpus Catanduva</v>
      </c>
      <c r="D9" s="17"/>
      <c r="E9" s="17"/>
      <c r="F9" s="17"/>
      <c r="G9" s="17"/>
      <c r="H9" s="8">
        <f>SUM(D9:G9)</f>
        <v>0</v>
      </c>
      <c r="I9" s="15">
        <f>VLOOKUP(B9,urnas!$C$6:$H$114,6)</f>
        <v>840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033</v>
      </c>
      <c r="C10" s="23" t="str">
        <f>VLOOKUP(3*$H$3,urnas!$B$6:$D$114,3)</f>
        <v>Técnicos Administrativos do Câmpus Catanduva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47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Daniel Corrêa Lobato</v>
      </c>
      <c r="E18" s="6" t="str">
        <f>VLOOKUP($H$3,campus!$A$2:$P$37,7)</f>
        <v>Marcelo Velloso Heeren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Daniel Corrêa Lobato</v>
      </c>
      <c r="E23" s="2" t="str">
        <f>E18</f>
        <v>Marcelo Velloso Heeren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6">
    <tabColor theme="4"/>
  </sheetPr>
  <dimension ref="A1:T154"/>
  <sheetViews>
    <sheetView zoomScale="70" zoomScaleNormal="70" workbookViewId="0">
      <selection activeCell="F13" sqref="F13"/>
    </sheetView>
  </sheetViews>
  <sheetFormatPr defaultRowHeight="15" x14ac:dyDescent="0.25"/>
  <cols>
    <col min="1" max="1" width="9.140625" style="1"/>
    <col min="2" max="2" width="14" style="1" bestFit="1" customWidth="1"/>
    <col min="3" max="3" width="40.28515625" style="1" customWidth="1"/>
    <col min="4" max="10" width="25.7109375" style="1" customWidth="1"/>
    <col min="11" max="13" width="10.7109375" style="1" customWidth="1"/>
    <col min="14" max="14" width="18.5703125" style="1" bestFit="1" customWidth="1"/>
    <col min="15" max="16384" width="9.140625" style="1"/>
  </cols>
  <sheetData>
    <row r="1" spans="1:20" x14ac:dyDescent="0.25">
      <c r="A1" s="2"/>
    </row>
    <row r="2" spans="1:20" ht="28.5" x14ac:dyDescent="0.25">
      <c r="B2" s="4" t="s">
        <v>766</v>
      </c>
    </row>
    <row r="3" spans="1:20" ht="31.5" x14ac:dyDescent="0.25">
      <c r="B3" s="45" t="s">
        <v>690</v>
      </c>
      <c r="N3" s="34"/>
    </row>
    <row r="5" spans="1:20" ht="15.75" thickBot="1" x14ac:dyDescent="0.3">
      <c r="Q5" s="2" t="e">
        <f>LARGE(D21:D21,1)</f>
        <v>#NUM!</v>
      </c>
      <c r="R5" s="2"/>
      <c r="S5" s="2"/>
    </row>
    <row r="6" spans="1:20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1"/>
      <c r="I6" s="51"/>
      <c r="J6" s="51"/>
      <c r="K6" s="51"/>
      <c r="L6" s="51"/>
      <c r="M6" s="55"/>
      <c r="N6" s="56" t="s">
        <v>839</v>
      </c>
      <c r="Q6" s="2" t="s">
        <v>849</v>
      </c>
      <c r="R6" s="2"/>
      <c r="S6" s="2"/>
    </row>
    <row r="7" spans="1:20" ht="51" customHeight="1" x14ac:dyDescent="0.25">
      <c r="B7" s="49"/>
      <c r="C7" s="54"/>
      <c r="D7" s="6" t="s">
        <v>864</v>
      </c>
      <c r="E7" s="6" t="s">
        <v>865</v>
      </c>
      <c r="F7" s="6" t="s">
        <v>866</v>
      </c>
      <c r="G7" s="6" t="s">
        <v>867</v>
      </c>
      <c r="H7" s="6" t="s">
        <v>868</v>
      </c>
      <c r="I7" s="6" t="s">
        <v>869</v>
      </c>
      <c r="J7" s="6" t="s">
        <v>870</v>
      </c>
      <c r="K7" s="7" t="s">
        <v>768</v>
      </c>
      <c r="L7" s="7" t="s">
        <v>769</v>
      </c>
      <c r="M7" s="6" t="s">
        <v>844</v>
      </c>
      <c r="N7" s="57"/>
      <c r="Q7" s="2"/>
      <c r="R7" s="2"/>
      <c r="S7" s="2"/>
    </row>
    <row r="8" spans="1:20" ht="30" customHeight="1" x14ac:dyDescent="0.25">
      <c r="B8" s="9" t="s">
        <v>32</v>
      </c>
      <c r="C8" s="22" t="s">
        <v>33</v>
      </c>
      <c r="D8" s="17"/>
      <c r="E8" s="17"/>
      <c r="F8" s="17"/>
      <c r="G8" s="17"/>
      <c r="H8" s="17"/>
      <c r="I8" s="17"/>
      <c r="J8" s="17"/>
      <c r="K8" s="17"/>
      <c r="L8" s="17"/>
      <c r="M8" s="8">
        <f>SUM(D8:L8)</f>
        <v>0</v>
      </c>
      <c r="N8" s="15">
        <f>VLOOKUP(B8,urnas!$C$6:$H$114,6)</f>
        <v>70</v>
      </c>
      <c r="Q8" s="2"/>
      <c r="R8" s="2"/>
      <c r="S8" s="2"/>
    </row>
    <row r="9" spans="1:20" ht="30" customHeight="1" x14ac:dyDescent="0.25">
      <c r="B9" s="9" t="s">
        <v>43</v>
      </c>
      <c r="C9" s="22" t="s">
        <v>44</v>
      </c>
      <c r="D9" s="17"/>
      <c r="E9" s="17"/>
      <c r="F9" s="17"/>
      <c r="G9" s="17"/>
      <c r="H9" s="17"/>
      <c r="I9" s="17"/>
      <c r="J9" s="17"/>
      <c r="K9" s="17"/>
      <c r="L9" s="17"/>
      <c r="M9" s="8">
        <f>SUM(D9:L9)</f>
        <v>0</v>
      </c>
      <c r="N9" s="15">
        <f>VLOOKUP(B9,urnas!$C$6:$H$114,6)</f>
        <v>954</v>
      </c>
      <c r="Q9" s="2"/>
      <c r="R9" s="2"/>
      <c r="S9" s="2"/>
    </row>
    <row r="10" spans="1:20" ht="30" customHeight="1" x14ac:dyDescent="0.25">
      <c r="B10" s="9" t="s">
        <v>49</v>
      </c>
      <c r="C10" s="22" t="s">
        <v>50</v>
      </c>
      <c r="D10" s="17"/>
      <c r="E10" s="17"/>
      <c r="F10" s="17"/>
      <c r="G10" s="17"/>
      <c r="H10" s="17"/>
      <c r="I10" s="17"/>
      <c r="J10" s="17"/>
      <c r="K10" s="17"/>
      <c r="L10" s="17"/>
      <c r="M10" s="8">
        <f t="shared" ref="M10:M73" si="0">SUM(D10:L10)</f>
        <v>0</v>
      </c>
      <c r="N10" s="15">
        <f>VLOOKUP(B10,urnas!$C$6:$H$114,6)</f>
        <v>44</v>
      </c>
      <c r="Q10" s="2"/>
      <c r="R10" s="2"/>
      <c r="S10" s="2"/>
    </row>
    <row r="11" spans="1:20" ht="30" customHeight="1" x14ac:dyDescent="0.25">
      <c r="B11" s="9" t="s">
        <v>55</v>
      </c>
      <c r="C11" s="22" t="s">
        <v>56</v>
      </c>
      <c r="D11" s="17"/>
      <c r="E11" s="17"/>
      <c r="F11" s="17"/>
      <c r="G11" s="17"/>
      <c r="H11" s="17"/>
      <c r="I11" s="17"/>
      <c r="J11" s="17"/>
      <c r="K11" s="17"/>
      <c r="L11" s="17"/>
      <c r="M11" s="8">
        <f t="shared" si="0"/>
        <v>0</v>
      </c>
      <c r="N11" s="15">
        <f>VLOOKUP(B11,urnas!$C$6:$H$114,6)</f>
        <v>68</v>
      </c>
    </row>
    <row r="12" spans="1:20" ht="30" customHeight="1" x14ac:dyDescent="0.25">
      <c r="B12" s="9" t="s">
        <v>63</v>
      </c>
      <c r="C12" s="22" t="s">
        <v>64</v>
      </c>
      <c r="D12" s="17"/>
      <c r="E12" s="17"/>
      <c r="F12" s="17"/>
      <c r="G12" s="17"/>
      <c r="H12" s="17"/>
      <c r="I12" s="17"/>
      <c r="J12" s="17"/>
      <c r="K12" s="17"/>
      <c r="L12" s="17"/>
      <c r="M12" s="8">
        <f t="shared" si="0"/>
        <v>0</v>
      </c>
      <c r="N12" s="15">
        <f>VLOOKUP(B12,urnas!$C$6:$H$114,6)</f>
        <v>1083</v>
      </c>
    </row>
    <row r="13" spans="1:20" ht="30" customHeight="1" x14ac:dyDescent="0.25">
      <c r="B13" s="9" t="s">
        <v>68</v>
      </c>
      <c r="C13" s="22" t="s">
        <v>69</v>
      </c>
      <c r="D13" s="17"/>
      <c r="E13" s="17"/>
      <c r="F13" s="17"/>
      <c r="G13" s="17"/>
      <c r="H13" s="17"/>
      <c r="I13" s="17"/>
      <c r="J13" s="17"/>
      <c r="K13" s="17"/>
      <c r="L13" s="17"/>
      <c r="M13" s="8">
        <f t="shared" si="0"/>
        <v>0</v>
      </c>
      <c r="N13" s="15">
        <f>VLOOKUP(B13,urnas!$C$6:$H$114,6)</f>
        <v>46</v>
      </c>
    </row>
    <row r="14" spans="1:20" ht="30" customHeight="1" x14ac:dyDescent="0.25">
      <c r="B14" s="9" t="s">
        <v>73</v>
      </c>
      <c r="C14" s="22" t="s">
        <v>74</v>
      </c>
      <c r="D14" s="17"/>
      <c r="E14" s="17"/>
      <c r="F14" s="17"/>
      <c r="G14" s="17"/>
      <c r="H14" s="17"/>
      <c r="I14" s="17"/>
      <c r="J14" s="17"/>
      <c r="K14" s="17"/>
      <c r="L14" s="17"/>
      <c r="M14" s="8">
        <f t="shared" si="0"/>
        <v>0</v>
      </c>
      <c r="N14" s="15">
        <f>VLOOKUP(B14,urnas!$C$6:$H$114,6)</f>
        <v>78</v>
      </c>
      <c r="O14" s="12"/>
      <c r="P14" s="12"/>
      <c r="Q14" s="12"/>
      <c r="R14" s="12"/>
      <c r="S14" s="12"/>
      <c r="T14" s="12"/>
    </row>
    <row r="15" spans="1:20" ht="30" customHeight="1" x14ac:dyDescent="0.25">
      <c r="B15" s="9" t="s">
        <v>81</v>
      </c>
      <c r="C15" s="22" t="s">
        <v>82</v>
      </c>
      <c r="D15" s="17"/>
      <c r="E15" s="17"/>
      <c r="F15" s="17"/>
      <c r="G15" s="17"/>
      <c r="H15" s="17"/>
      <c r="I15" s="17"/>
      <c r="J15" s="17"/>
      <c r="K15" s="17"/>
      <c r="L15" s="17"/>
      <c r="M15" s="8">
        <f t="shared" si="0"/>
        <v>0</v>
      </c>
      <c r="N15" s="15">
        <f>VLOOKUP(B15,urnas!$C$6:$H$114,6)</f>
        <v>1335</v>
      </c>
      <c r="O15" s="12"/>
      <c r="P15" s="12"/>
      <c r="Q15" s="12"/>
      <c r="R15" s="12"/>
      <c r="S15" s="12"/>
      <c r="T15" s="12"/>
    </row>
    <row r="16" spans="1:20" ht="30" customHeight="1" x14ac:dyDescent="0.25">
      <c r="B16" s="9" t="s">
        <v>86</v>
      </c>
      <c r="C16" s="22" t="s">
        <v>87</v>
      </c>
      <c r="D16" s="17"/>
      <c r="E16" s="17"/>
      <c r="F16" s="17"/>
      <c r="G16" s="17"/>
      <c r="H16" s="17"/>
      <c r="I16" s="17"/>
      <c r="J16" s="17"/>
      <c r="K16" s="17"/>
      <c r="L16" s="17"/>
      <c r="M16" s="8">
        <f t="shared" si="0"/>
        <v>0</v>
      </c>
      <c r="N16" s="15">
        <f>VLOOKUP(B16,urnas!$C$6:$H$114,6)</f>
        <v>57</v>
      </c>
      <c r="O16" s="12"/>
      <c r="P16" s="12"/>
      <c r="Q16" s="12"/>
      <c r="R16" s="12"/>
      <c r="S16" s="12"/>
      <c r="T16" s="12"/>
    </row>
    <row r="17" spans="2:20" ht="30" customHeight="1" x14ac:dyDescent="0.25">
      <c r="B17" s="9" t="s">
        <v>91</v>
      </c>
      <c r="C17" s="22" t="s">
        <v>92</v>
      </c>
      <c r="D17" s="17"/>
      <c r="E17" s="17"/>
      <c r="F17" s="17"/>
      <c r="G17" s="17"/>
      <c r="H17" s="17"/>
      <c r="I17" s="17"/>
      <c r="J17" s="17"/>
      <c r="K17" s="17"/>
      <c r="L17" s="17"/>
      <c r="M17" s="8">
        <f t="shared" si="0"/>
        <v>0</v>
      </c>
      <c r="N17" s="15">
        <f>VLOOKUP(B17,urnas!$C$6:$H$114,6)</f>
        <v>70</v>
      </c>
      <c r="O17" s="12"/>
      <c r="P17" s="12"/>
      <c r="Q17" s="12"/>
      <c r="R17" s="12"/>
      <c r="S17" s="12"/>
      <c r="T17" s="12"/>
    </row>
    <row r="18" spans="2:20" ht="30" customHeight="1" x14ac:dyDescent="0.25">
      <c r="B18" s="9" t="s">
        <v>99</v>
      </c>
      <c r="C18" s="22" t="s">
        <v>100</v>
      </c>
      <c r="D18" s="17"/>
      <c r="E18" s="17"/>
      <c r="F18" s="17"/>
      <c r="G18" s="17"/>
      <c r="H18" s="17"/>
      <c r="I18" s="17"/>
      <c r="J18" s="17"/>
      <c r="K18" s="17"/>
      <c r="L18" s="17"/>
      <c r="M18" s="8">
        <f t="shared" si="0"/>
        <v>0</v>
      </c>
      <c r="N18" s="15">
        <f>VLOOKUP(B18,urnas!$C$6:$H$114,6)</f>
        <v>1039</v>
      </c>
      <c r="O18" s="12"/>
      <c r="P18" s="12"/>
      <c r="Q18" s="12"/>
      <c r="R18" s="12"/>
      <c r="S18" s="12"/>
      <c r="T18" s="12"/>
    </row>
    <row r="19" spans="2:20" ht="30" customHeight="1" x14ac:dyDescent="0.25">
      <c r="B19" s="9" t="s">
        <v>104</v>
      </c>
      <c r="C19" s="22" t="s">
        <v>105</v>
      </c>
      <c r="D19" s="17"/>
      <c r="E19" s="17"/>
      <c r="F19" s="17"/>
      <c r="G19" s="17"/>
      <c r="H19" s="17"/>
      <c r="I19" s="17"/>
      <c r="J19" s="17"/>
      <c r="K19" s="17"/>
      <c r="L19" s="17"/>
      <c r="M19" s="8">
        <f t="shared" si="0"/>
        <v>0</v>
      </c>
      <c r="N19" s="15">
        <f>VLOOKUP(B19,urnas!$C$6:$H$114,6)</f>
        <v>45</v>
      </c>
    </row>
    <row r="20" spans="2:20" ht="30" customHeight="1" x14ac:dyDescent="0.25">
      <c r="B20" s="9" t="s">
        <v>109</v>
      </c>
      <c r="C20" s="22" t="s">
        <v>110</v>
      </c>
      <c r="D20" s="17"/>
      <c r="E20" s="17"/>
      <c r="F20" s="17"/>
      <c r="G20" s="17"/>
      <c r="H20" s="17"/>
      <c r="I20" s="17"/>
      <c r="J20" s="17"/>
      <c r="K20" s="17"/>
      <c r="L20" s="17"/>
      <c r="M20" s="8">
        <f t="shared" si="0"/>
        <v>0</v>
      </c>
      <c r="N20" s="15">
        <f>VLOOKUP(B20,urnas!$C$6:$H$114,6)</f>
        <v>63</v>
      </c>
    </row>
    <row r="21" spans="2:20" ht="30" customHeight="1" x14ac:dyDescent="0.25">
      <c r="B21" s="9" t="s">
        <v>117</v>
      </c>
      <c r="C21" s="22" t="s">
        <v>118</v>
      </c>
      <c r="D21" s="17"/>
      <c r="E21" s="17"/>
      <c r="F21" s="17"/>
      <c r="G21" s="17"/>
      <c r="H21" s="17"/>
      <c r="I21" s="17"/>
      <c r="J21" s="17"/>
      <c r="K21" s="17"/>
      <c r="L21" s="17"/>
      <c r="M21" s="8">
        <f t="shared" si="0"/>
        <v>0</v>
      </c>
      <c r="N21" s="15">
        <f>VLOOKUP(B21,urnas!$C$6:$H$114,6)</f>
        <v>1214</v>
      </c>
    </row>
    <row r="22" spans="2:20" ht="30" customHeight="1" x14ac:dyDescent="0.25">
      <c r="B22" s="9" t="s">
        <v>122</v>
      </c>
      <c r="C22" s="22" t="s">
        <v>123</v>
      </c>
      <c r="D22" s="17"/>
      <c r="E22" s="17"/>
      <c r="F22" s="17"/>
      <c r="G22" s="17"/>
      <c r="H22" s="17"/>
      <c r="I22" s="17"/>
      <c r="J22" s="17"/>
      <c r="K22" s="17"/>
      <c r="L22" s="17"/>
      <c r="M22" s="8">
        <f t="shared" si="0"/>
        <v>0</v>
      </c>
      <c r="N22" s="15">
        <f>VLOOKUP(B22,urnas!$C$6:$H$114,6)</f>
        <v>45</v>
      </c>
    </row>
    <row r="23" spans="2:20" ht="30" customHeight="1" x14ac:dyDescent="0.25">
      <c r="B23" s="9" t="s">
        <v>126</v>
      </c>
      <c r="C23" s="22" t="s">
        <v>127</v>
      </c>
      <c r="D23" s="17"/>
      <c r="E23" s="17"/>
      <c r="F23" s="17"/>
      <c r="G23" s="17"/>
      <c r="H23" s="17"/>
      <c r="I23" s="17"/>
      <c r="J23" s="17"/>
      <c r="K23" s="17"/>
      <c r="L23" s="17"/>
      <c r="M23" s="8">
        <f t="shared" si="0"/>
        <v>0</v>
      </c>
      <c r="N23" s="15">
        <f>VLOOKUP(B23,urnas!$C$6:$H$114,6)</f>
        <v>71</v>
      </c>
    </row>
    <row r="24" spans="2:20" ht="30" customHeight="1" x14ac:dyDescent="0.25">
      <c r="B24" s="9" t="s">
        <v>134</v>
      </c>
      <c r="C24" s="22" t="s">
        <v>135</v>
      </c>
      <c r="D24" s="17"/>
      <c r="E24" s="17"/>
      <c r="F24" s="17"/>
      <c r="G24" s="17"/>
      <c r="H24" s="17"/>
      <c r="I24" s="17"/>
      <c r="J24" s="17"/>
      <c r="K24" s="17"/>
      <c r="L24" s="17"/>
      <c r="M24" s="8">
        <f t="shared" si="0"/>
        <v>0</v>
      </c>
      <c r="N24" s="15">
        <f>VLOOKUP(B24,urnas!$C$6:$H$114,6)</f>
        <v>1211</v>
      </c>
    </row>
    <row r="25" spans="2:20" ht="30" customHeight="1" x14ac:dyDescent="0.25">
      <c r="B25" s="9" t="s">
        <v>139</v>
      </c>
      <c r="C25" s="22" t="s">
        <v>140</v>
      </c>
      <c r="D25" s="17"/>
      <c r="E25" s="17"/>
      <c r="F25" s="17"/>
      <c r="G25" s="17"/>
      <c r="H25" s="17"/>
      <c r="I25" s="17"/>
      <c r="J25" s="17"/>
      <c r="K25" s="17"/>
      <c r="L25" s="17"/>
      <c r="M25" s="8">
        <f t="shared" si="0"/>
        <v>0</v>
      </c>
      <c r="N25" s="15">
        <f>VLOOKUP(B25,urnas!$C$6:$H$114,6)</f>
        <v>43</v>
      </c>
    </row>
    <row r="26" spans="2:20" ht="30" customHeight="1" x14ac:dyDescent="0.25">
      <c r="B26" s="9" t="s">
        <v>144</v>
      </c>
      <c r="C26" s="22" t="s">
        <v>145</v>
      </c>
      <c r="D26" s="17"/>
      <c r="E26" s="17"/>
      <c r="F26" s="17"/>
      <c r="G26" s="17"/>
      <c r="H26" s="17"/>
      <c r="I26" s="17"/>
      <c r="J26" s="17"/>
      <c r="K26" s="17"/>
      <c r="L26" s="17"/>
      <c r="M26" s="8">
        <f t="shared" si="0"/>
        <v>0</v>
      </c>
      <c r="N26" s="15">
        <f>VLOOKUP(B26,urnas!$C$6:$H$114,6)</f>
        <v>68</v>
      </c>
    </row>
    <row r="27" spans="2:20" ht="30" customHeight="1" x14ac:dyDescent="0.25">
      <c r="B27" s="9" t="s">
        <v>152</v>
      </c>
      <c r="C27" s="22" t="s">
        <v>153</v>
      </c>
      <c r="D27" s="17"/>
      <c r="E27" s="17"/>
      <c r="F27" s="17"/>
      <c r="G27" s="17"/>
      <c r="H27" s="17"/>
      <c r="I27" s="17"/>
      <c r="J27" s="17"/>
      <c r="K27" s="17"/>
      <c r="L27" s="17"/>
      <c r="M27" s="8">
        <f t="shared" si="0"/>
        <v>0</v>
      </c>
      <c r="N27" s="15">
        <f>VLOOKUP(B27,urnas!$C$6:$H$114,6)</f>
        <v>740</v>
      </c>
    </row>
    <row r="28" spans="2:20" ht="30" customHeight="1" x14ac:dyDescent="0.25">
      <c r="B28" s="9" t="s">
        <v>157</v>
      </c>
      <c r="C28" s="22" t="s">
        <v>158</v>
      </c>
      <c r="D28" s="17"/>
      <c r="E28" s="17"/>
      <c r="F28" s="17"/>
      <c r="G28" s="17"/>
      <c r="H28" s="17"/>
      <c r="I28" s="17"/>
      <c r="J28" s="17"/>
      <c r="K28" s="17"/>
      <c r="L28" s="17"/>
      <c r="M28" s="8">
        <f t="shared" si="0"/>
        <v>0</v>
      </c>
      <c r="N28" s="15">
        <f>VLOOKUP(B28,urnas!$C$6:$H$114,6)</f>
        <v>40</v>
      </c>
    </row>
    <row r="29" spans="2:20" ht="30" customHeight="1" x14ac:dyDescent="0.25">
      <c r="B29" s="9" t="s">
        <v>162</v>
      </c>
      <c r="C29" s="22" t="s">
        <v>163</v>
      </c>
      <c r="D29" s="17"/>
      <c r="E29" s="17"/>
      <c r="F29" s="17"/>
      <c r="G29" s="17"/>
      <c r="H29" s="17"/>
      <c r="I29" s="17"/>
      <c r="J29" s="17"/>
      <c r="K29" s="17"/>
      <c r="L29" s="17"/>
      <c r="M29" s="8">
        <f t="shared" si="0"/>
        <v>0</v>
      </c>
      <c r="N29" s="15">
        <f>VLOOKUP(B29,urnas!$C$6:$H$114,6)</f>
        <v>60</v>
      </c>
    </row>
    <row r="30" spans="2:20" ht="30" customHeight="1" x14ac:dyDescent="0.25">
      <c r="B30" s="9" t="s">
        <v>170</v>
      </c>
      <c r="C30" s="22" t="s">
        <v>171</v>
      </c>
      <c r="D30" s="17"/>
      <c r="E30" s="17"/>
      <c r="F30" s="17"/>
      <c r="G30" s="17"/>
      <c r="H30" s="17"/>
      <c r="I30" s="17"/>
      <c r="J30" s="17"/>
      <c r="K30" s="17"/>
      <c r="L30" s="17"/>
      <c r="M30" s="8">
        <f t="shared" si="0"/>
        <v>0</v>
      </c>
      <c r="N30" s="15">
        <f>VLOOKUP(B30,urnas!$C$6:$H$114,6)</f>
        <v>758</v>
      </c>
    </row>
    <row r="31" spans="2:20" ht="30" customHeight="1" x14ac:dyDescent="0.25">
      <c r="B31" s="9" t="s">
        <v>175</v>
      </c>
      <c r="C31" s="22" t="s">
        <v>176</v>
      </c>
      <c r="D31" s="17"/>
      <c r="E31" s="17"/>
      <c r="F31" s="17"/>
      <c r="G31" s="17"/>
      <c r="H31" s="17"/>
      <c r="I31" s="17"/>
      <c r="J31" s="17"/>
      <c r="K31" s="17"/>
      <c r="L31" s="17"/>
      <c r="M31" s="8">
        <f t="shared" si="0"/>
        <v>0</v>
      </c>
      <c r="N31" s="15">
        <f>VLOOKUP(B31,urnas!$C$6:$H$114,6)</f>
        <v>41</v>
      </c>
    </row>
    <row r="32" spans="2:20" ht="30" customHeight="1" x14ac:dyDescent="0.25">
      <c r="B32" s="9" t="s">
        <v>180</v>
      </c>
      <c r="C32" s="22" t="s">
        <v>181</v>
      </c>
      <c r="D32" s="17"/>
      <c r="E32" s="17"/>
      <c r="F32" s="17"/>
      <c r="G32" s="17"/>
      <c r="H32" s="17"/>
      <c r="I32" s="17"/>
      <c r="J32" s="17"/>
      <c r="K32" s="17"/>
      <c r="L32" s="17"/>
      <c r="M32" s="8">
        <f t="shared" si="0"/>
        <v>0</v>
      </c>
      <c r="N32" s="15">
        <f>VLOOKUP(B32,urnas!$C$6:$H$114,6)</f>
        <v>65</v>
      </c>
    </row>
    <row r="33" spans="2:14" ht="30" customHeight="1" x14ac:dyDescent="0.25">
      <c r="B33" s="9" t="s">
        <v>188</v>
      </c>
      <c r="C33" s="22" t="s">
        <v>189</v>
      </c>
      <c r="D33" s="17"/>
      <c r="E33" s="17"/>
      <c r="F33" s="17"/>
      <c r="G33" s="17"/>
      <c r="H33" s="17"/>
      <c r="I33" s="17"/>
      <c r="J33" s="17"/>
      <c r="K33" s="17"/>
      <c r="L33" s="17"/>
      <c r="M33" s="8">
        <f t="shared" si="0"/>
        <v>0</v>
      </c>
      <c r="N33" s="15">
        <f>VLOOKUP(B33,urnas!$C$6:$H$114,6)</f>
        <v>740</v>
      </c>
    </row>
    <row r="34" spans="2:14" ht="30" customHeight="1" x14ac:dyDescent="0.25">
      <c r="B34" s="9" t="s">
        <v>193</v>
      </c>
      <c r="C34" s="22" t="s">
        <v>194</v>
      </c>
      <c r="D34" s="17"/>
      <c r="E34" s="17"/>
      <c r="F34" s="17"/>
      <c r="G34" s="17"/>
      <c r="H34" s="17"/>
      <c r="I34" s="17"/>
      <c r="J34" s="17"/>
      <c r="K34" s="17"/>
      <c r="L34" s="17"/>
      <c r="M34" s="8">
        <f t="shared" si="0"/>
        <v>0</v>
      </c>
      <c r="N34" s="15">
        <f>VLOOKUP(B34,urnas!$C$6:$H$114,6)</f>
        <v>43</v>
      </c>
    </row>
    <row r="35" spans="2:14" ht="30" customHeight="1" x14ac:dyDescent="0.25">
      <c r="B35" s="9" t="s">
        <v>198</v>
      </c>
      <c r="C35" s="22" t="s">
        <v>199</v>
      </c>
      <c r="D35" s="17"/>
      <c r="E35" s="17"/>
      <c r="F35" s="17"/>
      <c r="G35" s="17"/>
      <c r="H35" s="17"/>
      <c r="I35" s="17"/>
      <c r="J35" s="17"/>
      <c r="K35" s="17"/>
      <c r="L35" s="17"/>
      <c r="M35" s="8">
        <f t="shared" si="0"/>
        <v>0</v>
      </c>
      <c r="N35" s="15">
        <f>VLOOKUP(B35,urnas!$C$6:$H$114,6)</f>
        <v>68</v>
      </c>
    </row>
    <row r="36" spans="2:14" ht="30" customHeight="1" x14ac:dyDescent="0.25">
      <c r="B36" s="9" t="s">
        <v>206</v>
      </c>
      <c r="C36" s="22" t="s">
        <v>207</v>
      </c>
      <c r="D36" s="17"/>
      <c r="E36" s="17"/>
      <c r="F36" s="17"/>
      <c r="G36" s="17"/>
      <c r="H36" s="17"/>
      <c r="I36" s="17"/>
      <c r="J36" s="17"/>
      <c r="K36" s="17"/>
      <c r="L36" s="17"/>
      <c r="M36" s="8">
        <f t="shared" si="0"/>
        <v>0</v>
      </c>
      <c r="N36" s="15">
        <f>VLOOKUP(B36,urnas!$C$6:$H$114,6)</f>
        <v>1196</v>
      </c>
    </row>
    <row r="37" spans="2:14" ht="30" customHeight="1" x14ac:dyDescent="0.25">
      <c r="B37" s="9" t="s">
        <v>211</v>
      </c>
      <c r="C37" s="22" t="s">
        <v>212</v>
      </c>
      <c r="D37" s="17"/>
      <c r="E37" s="17"/>
      <c r="F37" s="17"/>
      <c r="G37" s="17"/>
      <c r="H37" s="17"/>
      <c r="I37" s="17"/>
      <c r="J37" s="17"/>
      <c r="K37" s="17"/>
      <c r="L37" s="17"/>
      <c r="M37" s="8">
        <f t="shared" si="0"/>
        <v>0</v>
      </c>
      <c r="N37" s="15">
        <f>VLOOKUP(B37,urnas!$C$6:$H$114,6)</f>
        <v>45</v>
      </c>
    </row>
    <row r="38" spans="2:14" ht="30" customHeight="1" x14ac:dyDescent="0.25">
      <c r="B38" s="9" t="s">
        <v>216</v>
      </c>
      <c r="C38" s="22" t="s">
        <v>217</v>
      </c>
      <c r="D38" s="17"/>
      <c r="E38" s="17"/>
      <c r="F38" s="17"/>
      <c r="G38" s="17"/>
      <c r="H38" s="17"/>
      <c r="I38" s="17"/>
      <c r="J38" s="17"/>
      <c r="K38" s="17"/>
      <c r="L38" s="17"/>
      <c r="M38" s="8">
        <f t="shared" si="0"/>
        <v>0</v>
      </c>
      <c r="N38" s="15">
        <f>VLOOKUP(B38,urnas!$C$6:$H$114,6)</f>
        <v>68</v>
      </c>
    </row>
    <row r="39" spans="2:14" ht="30" customHeight="1" x14ac:dyDescent="0.25">
      <c r="B39" s="9" t="s">
        <v>224</v>
      </c>
      <c r="C39" s="22" t="s">
        <v>225</v>
      </c>
      <c r="D39" s="17"/>
      <c r="E39" s="17"/>
      <c r="F39" s="17"/>
      <c r="G39" s="17"/>
      <c r="H39" s="17"/>
      <c r="I39" s="17"/>
      <c r="J39" s="17"/>
      <c r="K39" s="17"/>
      <c r="L39" s="17"/>
      <c r="M39" s="8">
        <f t="shared" si="0"/>
        <v>0</v>
      </c>
      <c r="N39" s="15">
        <f>VLOOKUP(B39,urnas!$C$6:$H$114,6)</f>
        <v>840</v>
      </c>
    </row>
    <row r="40" spans="2:14" ht="30" customHeight="1" x14ac:dyDescent="0.25">
      <c r="B40" s="9" t="s">
        <v>229</v>
      </c>
      <c r="C40" s="22" t="s">
        <v>230</v>
      </c>
      <c r="D40" s="17"/>
      <c r="E40" s="17"/>
      <c r="F40" s="17"/>
      <c r="G40" s="17"/>
      <c r="H40" s="17"/>
      <c r="I40" s="17"/>
      <c r="J40" s="17"/>
      <c r="K40" s="17"/>
      <c r="L40" s="17"/>
      <c r="M40" s="8">
        <f t="shared" si="0"/>
        <v>0</v>
      </c>
      <c r="N40" s="15">
        <f>VLOOKUP(B40,urnas!$C$6:$H$114,6)</f>
        <v>47</v>
      </c>
    </row>
    <row r="41" spans="2:14" ht="30" customHeight="1" x14ac:dyDescent="0.25">
      <c r="B41" s="9" t="s">
        <v>233</v>
      </c>
      <c r="C41" s="22" t="s">
        <v>234</v>
      </c>
      <c r="D41" s="17"/>
      <c r="E41" s="17"/>
      <c r="F41" s="17"/>
      <c r="G41" s="17"/>
      <c r="H41" s="17"/>
      <c r="I41" s="17"/>
      <c r="J41" s="17"/>
      <c r="K41" s="17"/>
      <c r="L41" s="17"/>
      <c r="M41" s="8">
        <f t="shared" si="0"/>
        <v>0</v>
      </c>
      <c r="N41" s="15">
        <f>VLOOKUP(B41,urnas!$C$6:$H$114,6)</f>
        <v>86</v>
      </c>
    </row>
    <row r="42" spans="2:14" ht="30" customHeight="1" x14ac:dyDescent="0.25">
      <c r="B42" s="9" t="s">
        <v>241</v>
      </c>
      <c r="C42" s="22" t="s">
        <v>242</v>
      </c>
      <c r="D42" s="17"/>
      <c r="E42" s="17"/>
      <c r="F42" s="17"/>
      <c r="G42" s="17"/>
      <c r="H42" s="17"/>
      <c r="I42" s="17"/>
      <c r="J42" s="17"/>
      <c r="K42" s="17"/>
      <c r="L42" s="17"/>
      <c r="M42" s="8">
        <f t="shared" si="0"/>
        <v>0</v>
      </c>
      <c r="N42" s="15">
        <f>VLOOKUP(B42,urnas!$C$6:$H$114,6)</f>
        <v>1498</v>
      </c>
    </row>
    <row r="43" spans="2:14" ht="30" customHeight="1" x14ac:dyDescent="0.25">
      <c r="B43" s="9" t="s">
        <v>246</v>
      </c>
      <c r="C43" s="22" t="s">
        <v>247</v>
      </c>
      <c r="D43" s="17"/>
      <c r="E43" s="17"/>
      <c r="F43" s="17"/>
      <c r="G43" s="17"/>
      <c r="H43" s="17"/>
      <c r="I43" s="17"/>
      <c r="J43" s="17"/>
      <c r="K43" s="17"/>
      <c r="L43" s="17"/>
      <c r="M43" s="8">
        <f t="shared" si="0"/>
        <v>0</v>
      </c>
      <c r="N43" s="15">
        <f>VLOOKUP(B43,urnas!$C$6:$H$114,6)</f>
        <v>69</v>
      </c>
    </row>
    <row r="44" spans="2:14" ht="30" customHeight="1" x14ac:dyDescent="0.25">
      <c r="B44" s="9" t="s">
        <v>251</v>
      </c>
      <c r="C44" s="22" t="s">
        <v>252</v>
      </c>
      <c r="D44" s="17"/>
      <c r="E44" s="17"/>
      <c r="F44" s="17"/>
      <c r="G44" s="17"/>
      <c r="H44" s="17"/>
      <c r="I44" s="17"/>
      <c r="J44" s="17"/>
      <c r="K44" s="17"/>
      <c r="L44" s="17"/>
      <c r="M44" s="8">
        <f t="shared" si="0"/>
        <v>0</v>
      </c>
      <c r="N44" s="15">
        <f>VLOOKUP(B44,urnas!$C$6:$H$114,6)</f>
        <v>74</v>
      </c>
    </row>
    <row r="45" spans="2:14" ht="30" customHeight="1" x14ac:dyDescent="0.25">
      <c r="B45" s="9" t="s">
        <v>259</v>
      </c>
      <c r="C45" s="22" t="s">
        <v>260</v>
      </c>
      <c r="D45" s="17"/>
      <c r="E45" s="17"/>
      <c r="F45" s="17"/>
      <c r="G45" s="17"/>
      <c r="H45" s="17"/>
      <c r="I45" s="17"/>
      <c r="J45" s="17"/>
      <c r="K45" s="17"/>
      <c r="L45" s="17"/>
      <c r="M45" s="8">
        <f t="shared" si="0"/>
        <v>0</v>
      </c>
      <c r="N45" s="15">
        <f>VLOOKUP(B45,urnas!$C$6:$H$114,6)</f>
        <v>1139</v>
      </c>
    </row>
    <row r="46" spans="2:14" ht="30" customHeight="1" x14ac:dyDescent="0.25">
      <c r="B46" s="9" t="s">
        <v>264</v>
      </c>
      <c r="C46" s="22" t="s">
        <v>265</v>
      </c>
      <c r="D46" s="17"/>
      <c r="E46" s="17"/>
      <c r="F46" s="17"/>
      <c r="G46" s="17"/>
      <c r="H46" s="17"/>
      <c r="I46" s="17"/>
      <c r="J46" s="17"/>
      <c r="K46" s="17"/>
      <c r="L46" s="17"/>
      <c r="M46" s="8">
        <f t="shared" si="0"/>
        <v>0</v>
      </c>
      <c r="N46" s="15">
        <f>VLOOKUP(B46,urnas!$C$6:$H$114,6)</f>
        <v>44</v>
      </c>
    </row>
    <row r="47" spans="2:14" ht="30" customHeight="1" x14ac:dyDescent="0.25">
      <c r="B47" s="9" t="s">
        <v>269</v>
      </c>
      <c r="C47" s="22" t="s">
        <v>270</v>
      </c>
      <c r="D47" s="17"/>
      <c r="E47" s="17"/>
      <c r="F47" s="17"/>
      <c r="G47" s="17"/>
      <c r="H47" s="17"/>
      <c r="I47" s="17"/>
      <c r="J47" s="17"/>
      <c r="K47" s="17"/>
      <c r="L47" s="17"/>
      <c r="M47" s="8">
        <f t="shared" si="0"/>
        <v>0</v>
      </c>
      <c r="N47" s="15">
        <f>VLOOKUP(B47,urnas!$C$6:$H$114,6)</f>
        <v>71</v>
      </c>
    </row>
    <row r="48" spans="2:14" ht="30" customHeight="1" x14ac:dyDescent="0.25">
      <c r="B48" s="9" t="s">
        <v>277</v>
      </c>
      <c r="C48" s="22" t="s">
        <v>278</v>
      </c>
      <c r="D48" s="17"/>
      <c r="E48" s="17"/>
      <c r="F48" s="17"/>
      <c r="G48" s="17"/>
      <c r="H48" s="17"/>
      <c r="I48" s="17"/>
      <c r="J48" s="17"/>
      <c r="K48" s="17"/>
      <c r="L48" s="17"/>
      <c r="M48" s="8">
        <f t="shared" si="0"/>
        <v>0</v>
      </c>
      <c r="N48" s="15">
        <f>VLOOKUP(B48,urnas!$C$6:$H$114,6)</f>
        <v>897</v>
      </c>
    </row>
    <row r="49" spans="2:14" ht="30" customHeight="1" x14ac:dyDescent="0.25">
      <c r="B49" s="9" t="s">
        <v>282</v>
      </c>
      <c r="C49" s="22" t="s">
        <v>283</v>
      </c>
      <c r="D49" s="17"/>
      <c r="E49" s="17"/>
      <c r="F49" s="17"/>
      <c r="G49" s="17"/>
      <c r="H49" s="17"/>
      <c r="I49" s="17"/>
      <c r="J49" s="17"/>
      <c r="K49" s="17"/>
      <c r="L49" s="17"/>
      <c r="M49" s="8">
        <f t="shared" si="0"/>
        <v>0</v>
      </c>
      <c r="N49" s="15">
        <f>VLOOKUP(B49,urnas!$C$6:$H$114,6)</f>
        <v>42</v>
      </c>
    </row>
    <row r="50" spans="2:14" ht="30" customHeight="1" x14ac:dyDescent="0.25">
      <c r="B50" s="9" t="s">
        <v>287</v>
      </c>
      <c r="C50" s="22" t="s">
        <v>288</v>
      </c>
      <c r="D50" s="17"/>
      <c r="E50" s="17"/>
      <c r="F50" s="17"/>
      <c r="G50" s="17"/>
      <c r="H50" s="17"/>
      <c r="I50" s="17"/>
      <c r="J50" s="17"/>
      <c r="K50" s="17"/>
      <c r="L50" s="17"/>
      <c r="M50" s="8">
        <f t="shared" si="0"/>
        <v>0</v>
      </c>
      <c r="N50" s="15">
        <f>VLOOKUP(B50,urnas!$C$6:$H$114,6)</f>
        <v>70</v>
      </c>
    </row>
    <row r="51" spans="2:14" ht="30" customHeight="1" x14ac:dyDescent="0.25">
      <c r="B51" s="9" t="s">
        <v>295</v>
      </c>
      <c r="C51" s="22" t="s">
        <v>296</v>
      </c>
      <c r="D51" s="17"/>
      <c r="E51" s="17"/>
      <c r="F51" s="17"/>
      <c r="G51" s="17"/>
      <c r="H51" s="17"/>
      <c r="I51" s="17"/>
      <c r="J51" s="17"/>
      <c r="K51" s="17"/>
      <c r="L51" s="17"/>
      <c r="M51" s="8">
        <f t="shared" si="0"/>
        <v>0</v>
      </c>
      <c r="N51" s="15">
        <f>VLOOKUP(B51,urnas!$C$6:$H$114,6)</f>
        <v>1000</v>
      </c>
    </row>
    <row r="52" spans="2:14" ht="30" customHeight="1" x14ac:dyDescent="0.25">
      <c r="B52" s="9" t="s">
        <v>300</v>
      </c>
      <c r="C52" s="22" t="s">
        <v>301</v>
      </c>
      <c r="D52" s="17"/>
      <c r="E52" s="17"/>
      <c r="F52" s="17"/>
      <c r="G52" s="17"/>
      <c r="H52" s="17"/>
      <c r="I52" s="17"/>
      <c r="J52" s="17"/>
      <c r="K52" s="17"/>
      <c r="L52" s="17"/>
      <c r="M52" s="8">
        <f t="shared" si="0"/>
        <v>0</v>
      </c>
      <c r="N52" s="15">
        <f>VLOOKUP(B52,urnas!$C$6:$H$114,6)</f>
        <v>43</v>
      </c>
    </row>
    <row r="53" spans="2:14" ht="30" customHeight="1" x14ac:dyDescent="0.25">
      <c r="B53" s="9" t="s">
        <v>305</v>
      </c>
      <c r="C53" s="22" t="s">
        <v>306</v>
      </c>
      <c r="D53" s="17"/>
      <c r="E53" s="17"/>
      <c r="F53" s="17"/>
      <c r="G53" s="17"/>
      <c r="H53" s="17"/>
      <c r="I53" s="17"/>
      <c r="J53" s="17"/>
      <c r="K53" s="17"/>
      <c r="L53" s="17"/>
      <c r="M53" s="8">
        <f t="shared" si="0"/>
        <v>0</v>
      </c>
      <c r="N53" s="15">
        <f>VLOOKUP(B53,urnas!$C$6:$H$114,6)</f>
        <v>53</v>
      </c>
    </row>
    <row r="54" spans="2:14" ht="30" customHeight="1" x14ac:dyDescent="0.25">
      <c r="B54" s="9" t="s">
        <v>313</v>
      </c>
      <c r="C54" s="22" t="s">
        <v>314</v>
      </c>
      <c r="D54" s="17"/>
      <c r="E54" s="17"/>
      <c r="F54" s="17"/>
      <c r="G54" s="17"/>
      <c r="H54" s="17"/>
      <c r="I54" s="17"/>
      <c r="J54" s="17"/>
      <c r="K54" s="17"/>
      <c r="L54" s="17"/>
      <c r="M54" s="8">
        <f t="shared" si="0"/>
        <v>0</v>
      </c>
      <c r="N54" s="15">
        <f>VLOOKUP(B54,urnas!$C$6:$H$114,6)</f>
        <v>450</v>
      </c>
    </row>
    <row r="55" spans="2:14" ht="30" customHeight="1" x14ac:dyDescent="0.25">
      <c r="B55" s="9" t="s">
        <v>318</v>
      </c>
      <c r="C55" s="22" t="s">
        <v>319</v>
      </c>
      <c r="D55" s="17"/>
      <c r="E55" s="17"/>
      <c r="F55" s="17"/>
      <c r="G55" s="17"/>
      <c r="H55" s="17"/>
      <c r="I55" s="17"/>
      <c r="J55" s="17"/>
      <c r="K55" s="17"/>
      <c r="L55" s="17"/>
      <c r="M55" s="8">
        <f t="shared" si="0"/>
        <v>0</v>
      </c>
      <c r="N55" s="15">
        <f>VLOOKUP(B55,urnas!$C$6:$H$114,6)</f>
        <v>30</v>
      </c>
    </row>
    <row r="56" spans="2:14" ht="30" customHeight="1" x14ac:dyDescent="0.25">
      <c r="B56" s="9" t="s">
        <v>323</v>
      </c>
      <c r="C56" s="22" t="s">
        <v>324</v>
      </c>
      <c r="D56" s="17"/>
      <c r="E56" s="17"/>
      <c r="F56" s="17"/>
      <c r="G56" s="17"/>
      <c r="H56" s="17"/>
      <c r="I56" s="17"/>
      <c r="J56" s="17"/>
      <c r="K56" s="17"/>
      <c r="L56" s="17"/>
      <c r="M56" s="8">
        <f t="shared" si="0"/>
        <v>0</v>
      </c>
      <c r="N56" s="15">
        <f>VLOOKUP(B56,urnas!$C$6:$H$114,6)</f>
        <v>69</v>
      </c>
    </row>
    <row r="57" spans="2:14" ht="30" customHeight="1" x14ac:dyDescent="0.25">
      <c r="B57" s="9" t="s">
        <v>331</v>
      </c>
      <c r="C57" s="22" t="s">
        <v>332</v>
      </c>
      <c r="D57" s="17"/>
      <c r="E57" s="17"/>
      <c r="F57" s="17"/>
      <c r="G57" s="17"/>
      <c r="H57" s="17"/>
      <c r="I57" s="17"/>
      <c r="J57" s="17"/>
      <c r="K57" s="17"/>
      <c r="L57" s="17"/>
      <c r="M57" s="8">
        <f t="shared" si="0"/>
        <v>0</v>
      </c>
      <c r="N57" s="15">
        <f>VLOOKUP(B57,urnas!$C$6:$H$114,6)</f>
        <v>1141</v>
      </c>
    </row>
    <row r="58" spans="2:14" ht="30" customHeight="1" x14ac:dyDescent="0.25">
      <c r="B58" s="9" t="s">
        <v>336</v>
      </c>
      <c r="C58" s="22" t="s">
        <v>337</v>
      </c>
      <c r="D58" s="17"/>
      <c r="E58" s="17"/>
      <c r="F58" s="17"/>
      <c r="G58" s="17"/>
      <c r="H58" s="17"/>
      <c r="I58" s="17"/>
      <c r="J58" s="17"/>
      <c r="K58" s="17"/>
      <c r="L58" s="17"/>
      <c r="M58" s="8">
        <f t="shared" si="0"/>
        <v>0</v>
      </c>
      <c r="N58" s="15">
        <f>VLOOKUP(B58,urnas!$C$6:$H$114,6)</f>
        <v>40</v>
      </c>
    </row>
    <row r="59" spans="2:14" ht="30" customHeight="1" x14ac:dyDescent="0.25">
      <c r="B59" s="9" t="s">
        <v>341</v>
      </c>
      <c r="C59" s="22" t="s">
        <v>342</v>
      </c>
      <c r="D59" s="17"/>
      <c r="E59" s="17"/>
      <c r="F59" s="17"/>
      <c r="G59" s="17"/>
      <c r="H59" s="17"/>
      <c r="I59" s="17"/>
      <c r="J59" s="17"/>
      <c r="K59" s="17"/>
      <c r="L59" s="17"/>
      <c r="M59" s="8">
        <f t="shared" si="0"/>
        <v>0</v>
      </c>
      <c r="N59" s="15">
        <f>VLOOKUP(B59,urnas!$C$6:$H$114,6)</f>
        <v>68</v>
      </c>
    </row>
    <row r="60" spans="2:14" ht="30" customHeight="1" x14ac:dyDescent="0.25">
      <c r="B60" s="9" t="s">
        <v>349</v>
      </c>
      <c r="C60" s="22" t="s">
        <v>350</v>
      </c>
      <c r="D60" s="17"/>
      <c r="E60" s="17"/>
      <c r="F60" s="17"/>
      <c r="G60" s="17"/>
      <c r="H60" s="17"/>
      <c r="I60" s="17"/>
      <c r="J60" s="17"/>
      <c r="K60" s="17"/>
      <c r="L60" s="17"/>
      <c r="M60" s="8">
        <f t="shared" si="0"/>
        <v>0</v>
      </c>
      <c r="N60" s="15">
        <f>VLOOKUP(B60,urnas!$C$6:$H$114,6)</f>
        <v>973</v>
      </c>
    </row>
    <row r="61" spans="2:14" ht="30" customHeight="1" x14ac:dyDescent="0.25">
      <c r="B61" s="9" t="s">
        <v>354</v>
      </c>
      <c r="C61" s="22" t="s">
        <v>355</v>
      </c>
      <c r="D61" s="17"/>
      <c r="E61" s="17"/>
      <c r="F61" s="17"/>
      <c r="G61" s="17"/>
      <c r="H61" s="17"/>
      <c r="I61" s="17"/>
      <c r="J61" s="17"/>
      <c r="K61" s="17"/>
      <c r="L61" s="17"/>
      <c r="M61" s="8">
        <f t="shared" si="0"/>
        <v>0</v>
      </c>
      <c r="N61" s="15">
        <f>VLOOKUP(B61,urnas!$C$6:$H$114,6)</f>
        <v>43</v>
      </c>
    </row>
    <row r="62" spans="2:14" ht="30" customHeight="1" x14ac:dyDescent="0.25">
      <c r="B62" s="9" t="s">
        <v>359</v>
      </c>
      <c r="C62" s="22" t="s">
        <v>360</v>
      </c>
      <c r="D62" s="17"/>
      <c r="E62" s="17"/>
      <c r="F62" s="17"/>
      <c r="G62" s="17"/>
      <c r="H62" s="17"/>
      <c r="I62" s="17"/>
      <c r="J62" s="17"/>
      <c r="K62" s="17"/>
      <c r="L62" s="17"/>
      <c r="M62" s="8">
        <f t="shared" si="0"/>
        <v>0</v>
      </c>
      <c r="N62" s="15">
        <f>VLOOKUP(B62,urnas!$C$6:$H$114,6)</f>
        <v>76</v>
      </c>
    </row>
    <row r="63" spans="2:14" ht="30" customHeight="1" x14ac:dyDescent="0.25">
      <c r="B63" s="9" t="s">
        <v>367</v>
      </c>
      <c r="C63" s="22" t="s">
        <v>368</v>
      </c>
      <c r="D63" s="17"/>
      <c r="E63" s="17"/>
      <c r="F63" s="17"/>
      <c r="G63" s="17"/>
      <c r="H63" s="17"/>
      <c r="I63" s="17"/>
      <c r="J63" s="17"/>
      <c r="K63" s="17"/>
      <c r="L63" s="17"/>
      <c r="M63" s="8">
        <f t="shared" si="0"/>
        <v>0</v>
      </c>
      <c r="N63" s="15">
        <f>VLOOKUP(B63,urnas!$C$6:$H$114,6)</f>
        <v>1296</v>
      </c>
    </row>
    <row r="64" spans="2:14" ht="30" customHeight="1" x14ac:dyDescent="0.25">
      <c r="B64" s="9" t="s">
        <v>372</v>
      </c>
      <c r="C64" s="22" t="s">
        <v>373</v>
      </c>
      <c r="D64" s="17"/>
      <c r="E64" s="17"/>
      <c r="F64" s="17"/>
      <c r="G64" s="17"/>
      <c r="H64" s="17"/>
      <c r="I64" s="17"/>
      <c r="J64" s="17"/>
      <c r="K64" s="17"/>
      <c r="L64" s="17"/>
      <c r="M64" s="8">
        <f t="shared" si="0"/>
        <v>0</v>
      </c>
      <c r="N64" s="15">
        <f>VLOOKUP(B64,urnas!$C$6:$H$114,6)</f>
        <v>44</v>
      </c>
    </row>
    <row r="65" spans="2:14" ht="30" customHeight="1" x14ac:dyDescent="0.25">
      <c r="B65" s="9" t="s">
        <v>377</v>
      </c>
      <c r="C65" s="22" t="s">
        <v>378</v>
      </c>
      <c r="D65" s="17"/>
      <c r="E65" s="17"/>
      <c r="F65" s="17"/>
      <c r="G65" s="17"/>
      <c r="H65" s="17"/>
      <c r="I65" s="17"/>
      <c r="J65" s="17"/>
      <c r="K65" s="17"/>
      <c r="L65" s="17"/>
      <c r="M65" s="8">
        <f t="shared" si="0"/>
        <v>0</v>
      </c>
      <c r="N65" s="15">
        <f>VLOOKUP(B65,urnas!$C$6:$H$114,6)</f>
        <v>69</v>
      </c>
    </row>
    <row r="66" spans="2:14" ht="30" customHeight="1" x14ac:dyDescent="0.25">
      <c r="B66" s="9" t="s">
        <v>385</v>
      </c>
      <c r="C66" s="22" t="s">
        <v>386</v>
      </c>
      <c r="D66" s="17"/>
      <c r="E66" s="17"/>
      <c r="F66" s="17"/>
      <c r="G66" s="17"/>
      <c r="H66" s="17"/>
      <c r="I66" s="17"/>
      <c r="J66" s="17"/>
      <c r="K66" s="17"/>
      <c r="L66" s="17"/>
      <c r="M66" s="8">
        <f t="shared" si="0"/>
        <v>0</v>
      </c>
      <c r="N66" s="15">
        <f>VLOOKUP(B66,urnas!$C$6:$H$114,6)</f>
        <v>983</v>
      </c>
    </row>
    <row r="67" spans="2:14" ht="30" customHeight="1" x14ac:dyDescent="0.25">
      <c r="B67" s="9" t="s">
        <v>390</v>
      </c>
      <c r="C67" s="22" t="s">
        <v>391</v>
      </c>
      <c r="D67" s="17"/>
      <c r="E67" s="17"/>
      <c r="F67" s="17"/>
      <c r="G67" s="17"/>
      <c r="H67" s="17"/>
      <c r="I67" s="17"/>
      <c r="J67" s="17"/>
      <c r="K67" s="17"/>
      <c r="L67" s="17"/>
      <c r="M67" s="8">
        <f t="shared" si="0"/>
        <v>0</v>
      </c>
      <c r="N67" s="15">
        <f>VLOOKUP(B67,urnas!$C$6:$H$114,6)</f>
        <v>37</v>
      </c>
    </row>
    <row r="68" spans="2:14" ht="30" customHeight="1" x14ac:dyDescent="0.25">
      <c r="B68" s="9" t="s">
        <v>395</v>
      </c>
      <c r="C68" s="22" t="s">
        <v>396</v>
      </c>
      <c r="D68" s="17"/>
      <c r="E68" s="17"/>
      <c r="F68" s="17"/>
      <c r="G68" s="17"/>
      <c r="H68" s="17"/>
      <c r="I68" s="17"/>
      <c r="J68" s="17"/>
      <c r="K68" s="17"/>
      <c r="L68" s="17"/>
      <c r="M68" s="8">
        <f t="shared" si="0"/>
        <v>0</v>
      </c>
      <c r="N68" s="15">
        <f>VLOOKUP(B68,urnas!$C$6:$H$114,6)</f>
        <v>67</v>
      </c>
    </row>
    <row r="69" spans="2:14" ht="30" customHeight="1" x14ac:dyDescent="0.25">
      <c r="B69" s="9" t="s">
        <v>403</v>
      </c>
      <c r="C69" s="22" t="s">
        <v>404</v>
      </c>
      <c r="D69" s="17"/>
      <c r="E69" s="17"/>
      <c r="F69" s="17"/>
      <c r="G69" s="17"/>
      <c r="H69" s="17"/>
      <c r="I69" s="17"/>
      <c r="J69" s="17"/>
      <c r="K69" s="17"/>
      <c r="L69" s="17"/>
      <c r="M69" s="8">
        <f t="shared" si="0"/>
        <v>0</v>
      </c>
      <c r="N69" s="15">
        <f>VLOOKUP(B69,urnas!$C$6:$H$114,6)</f>
        <v>970</v>
      </c>
    </row>
    <row r="70" spans="2:14" ht="30" customHeight="1" x14ac:dyDescent="0.25">
      <c r="B70" s="9" t="s">
        <v>408</v>
      </c>
      <c r="C70" s="22" t="s">
        <v>409</v>
      </c>
      <c r="D70" s="17"/>
      <c r="E70" s="17"/>
      <c r="F70" s="17"/>
      <c r="G70" s="17"/>
      <c r="H70" s="17"/>
      <c r="I70" s="17"/>
      <c r="J70" s="17"/>
      <c r="K70" s="17"/>
      <c r="L70" s="17"/>
      <c r="M70" s="8">
        <f t="shared" si="0"/>
        <v>0</v>
      </c>
      <c r="N70" s="15">
        <f>VLOOKUP(B70,urnas!$C$6:$H$114,6)</f>
        <v>41</v>
      </c>
    </row>
    <row r="71" spans="2:14" ht="30" customHeight="1" x14ac:dyDescent="0.25">
      <c r="B71" s="9" t="s">
        <v>413</v>
      </c>
      <c r="C71" s="22" t="s">
        <v>414</v>
      </c>
      <c r="D71" s="17"/>
      <c r="E71" s="17"/>
      <c r="F71" s="17"/>
      <c r="G71" s="17"/>
      <c r="H71" s="17"/>
      <c r="I71" s="17"/>
      <c r="J71" s="17"/>
      <c r="K71" s="17"/>
      <c r="L71" s="17"/>
      <c r="M71" s="8">
        <f t="shared" si="0"/>
        <v>0</v>
      </c>
      <c r="N71" s="15">
        <f>VLOOKUP(B71,urnas!$C$6:$H$114,6)</f>
        <v>70</v>
      </c>
    </row>
    <row r="72" spans="2:14" ht="30" customHeight="1" x14ac:dyDescent="0.25">
      <c r="B72" s="9" t="s">
        <v>421</v>
      </c>
      <c r="C72" s="22" t="s">
        <v>422</v>
      </c>
      <c r="D72" s="17"/>
      <c r="E72" s="17"/>
      <c r="F72" s="17"/>
      <c r="G72" s="17"/>
      <c r="H72" s="17"/>
      <c r="I72" s="17"/>
      <c r="J72" s="17"/>
      <c r="K72" s="17"/>
      <c r="L72" s="17"/>
      <c r="M72" s="8">
        <f t="shared" si="0"/>
        <v>0</v>
      </c>
      <c r="N72" s="15">
        <f>VLOOKUP(B72,urnas!$C$6:$H$114,6)</f>
        <v>794</v>
      </c>
    </row>
    <row r="73" spans="2:14" ht="30" customHeight="1" x14ac:dyDescent="0.25">
      <c r="B73" s="9" t="s">
        <v>426</v>
      </c>
      <c r="C73" s="22" t="s">
        <v>427</v>
      </c>
      <c r="D73" s="17"/>
      <c r="E73" s="17"/>
      <c r="F73" s="17"/>
      <c r="G73" s="17"/>
      <c r="H73" s="17"/>
      <c r="I73" s="17"/>
      <c r="J73" s="17"/>
      <c r="K73" s="17"/>
      <c r="L73" s="17"/>
      <c r="M73" s="8">
        <f t="shared" si="0"/>
        <v>0</v>
      </c>
      <c r="N73" s="15">
        <f>VLOOKUP(B73,urnas!$C$6:$H$114,6)</f>
        <v>42</v>
      </c>
    </row>
    <row r="74" spans="2:14" ht="30" customHeight="1" x14ac:dyDescent="0.25">
      <c r="B74" s="9" t="s">
        <v>431</v>
      </c>
      <c r="C74" s="22" t="s">
        <v>432</v>
      </c>
      <c r="D74" s="17"/>
      <c r="E74" s="17"/>
      <c r="F74" s="17"/>
      <c r="G74" s="17"/>
      <c r="H74" s="17"/>
      <c r="I74" s="17"/>
      <c r="J74" s="17"/>
      <c r="K74" s="17"/>
      <c r="L74" s="17"/>
      <c r="M74" s="8">
        <f t="shared" ref="M74:M116" si="1">SUM(D74:L74)</f>
        <v>0</v>
      </c>
      <c r="N74" s="15">
        <f>VLOOKUP(B74,urnas!$C$6:$H$114,6)</f>
        <v>69</v>
      </c>
    </row>
    <row r="75" spans="2:14" ht="30" customHeight="1" x14ac:dyDescent="0.25">
      <c r="B75" s="9" t="s">
        <v>439</v>
      </c>
      <c r="C75" s="22" t="s">
        <v>440</v>
      </c>
      <c r="D75" s="17"/>
      <c r="E75" s="17"/>
      <c r="F75" s="17"/>
      <c r="G75" s="17"/>
      <c r="H75" s="17"/>
      <c r="I75" s="17"/>
      <c r="J75" s="17"/>
      <c r="K75" s="17"/>
      <c r="L75" s="17"/>
      <c r="M75" s="8">
        <f t="shared" si="1"/>
        <v>0</v>
      </c>
      <c r="N75" s="15">
        <f>VLOOKUP(B75,urnas!$C$6:$H$114,6)</f>
        <v>943</v>
      </c>
    </row>
    <row r="76" spans="2:14" ht="30" customHeight="1" x14ac:dyDescent="0.25">
      <c r="B76" s="9" t="s">
        <v>444</v>
      </c>
      <c r="C76" s="22" t="s">
        <v>445</v>
      </c>
      <c r="D76" s="17"/>
      <c r="E76" s="17"/>
      <c r="F76" s="17"/>
      <c r="G76" s="17"/>
      <c r="H76" s="17"/>
      <c r="I76" s="17"/>
      <c r="J76" s="17"/>
      <c r="K76" s="17"/>
      <c r="L76" s="17"/>
      <c r="M76" s="8">
        <f t="shared" si="1"/>
        <v>0</v>
      </c>
      <c r="N76" s="15">
        <f>VLOOKUP(B76,urnas!$C$6:$H$114,6)</f>
        <v>46</v>
      </c>
    </row>
    <row r="77" spans="2:14" ht="30" customHeight="1" x14ac:dyDescent="0.25">
      <c r="B77" s="9" t="s">
        <v>449</v>
      </c>
      <c r="C77" s="22" t="s">
        <v>450</v>
      </c>
      <c r="D77" s="17"/>
      <c r="E77" s="17"/>
      <c r="F77" s="17"/>
      <c r="G77" s="17"/>
      <c r="H77" s="17"/>
      <c r="I77" s="17"/>
      <c r="J77" s="17"/>
      <c r="K77" s="17"/>
      <c r="L77" s="17"/>
      <c r="M77" s="8">
        <f t="shared" si="1"/>
        <v>0</v>
      </c>
      <c r="N77" s="15">
        <f>VLOOKUP(B77,urnas!$C$6:$H$114,6)</f>
        <v>73</v>
      </c>
    </row>
    <row r="78" spans="2:14" ht="30" customHeight="1" x14ac:dyDescent="0.25">
      <c r="B78" s="9" t="s">
        <v>457</v>
      </c>
      <c r="C78" s="22" t="s">
        <v>458</v>
      </c>
      <c r="D78" s="17"/>
      <c r="E78" s="17"/>
      <c r="F78" s="17"/>
      <c r="G78" s="17"/>
      <c r="H78" s="17"/>
      <c r="I78" s="17"/>
      <c r="J78" s="17"/>
      <c r="K78" s="17"/>
      <c r="L78" s="17"/>
      <c r="M78" s="8">
        <f t="shared" si="1"/>
        <v>0</v>
      </c>
      <c r="N78" s="15">
        <f>VLOOKUP(B78,urnas!$C$6:$H$114,6)</f>
        <v>1229</v>
      </c>
    </row>
    <row r="79" spans="2:14" ht="30" customHeight="1" x14ac:dyDescent="0.25">
      <c r="B79" s="9" t="s">
        <v>462</v>
      </c>
      <c r="C79" s="22" t="s">
        <v>463</v>
      </c>
      <c r="D79" s="17"/>
      <c r="E79" s="17"/>
      <c r="F79" s="17"/>
      <c r="G79" s="17"/>
      <c r="H79" s="17"/>
      <c r="I79" s="17"/>
      <c r="J79" s="17"/>
      <c r="K79" s="17"/>
      <c r="L79" s="17"/>
      <c r="M79" s="8">
        <f t="shared" si="1"/>
        <v>0</v>
      </c>
      <c r="N79" s="15">
        <f>VLOOKUP(B79,urnas!$C$6:$H$114,6)</f>
        <v>40</v>
      </c>
    </row>
    <row r="80" spans="2:14" ht="30" customHeight="1" x14ac:dyDescent="0.25">
      <c r="B80" s="9" t="s">
        <v>467</v>
      </c>
      <c r="C80" s="22" t="s">
        <v>468</v>
      </c>
      <c r="D80" s="17"/>
      <c r="E80" s="17"/>
      <c r="F80" s="17"/>
      <c r="G80" s="17"/>
      <c r="H80" s="17"/>
      <c r="I80" s="17"/>
      <c r="J80" s="17"/>
      <c r="K80" s="17"/>
      <c r="L80" s="17"/>
      <c r="M80" s="8">
        <f t="shared" si="1"/>
        <v>0</v>
      </c>
      <c r="N80" s="15">
        <f>VLOOKUP(B80,urnas!$C$6:$H$114,6)</f>
        <v>72</v>
      </c>
    </row>
    <row r="81" spans="2:14" ht="30" customHeight="1" x14ac:dyDescent="0.25">
      <c r="B81" s="9" t="s">
        <v>475</v>
      </c>
      <c r="C81" s="22" t="s">
        <v>476</v>
      </c>
      <c r="D81" s="17"/>
      <c r="E81" s="17"/>
      <c r="F81" s="17"/>
      <c r="G81" s="17"/>
      <c r="H81" s="17"/>
      <c r="I81" s="17"/>
      <c r="J81" s="17"/>
      <c r="K81" s="17"/>
      <c r="L81" s="17"/>
      <c r="M81" s="8">
        <f t="shared" si="1"/>
        <v>0</v>
      </c>
      <c r="N81" s="15">
        <f>VLOOKUP(B81,urnas!$C$6:$H$114,6)</f>
        <v>1156</v>
      </c>
    </row>
    <row r="82" spans="2:14" ht="30" customHeight="1" x14ac:dyDescent="0.25">
      <c r="B82" s="9" t="s">
        <v>480</v>
      </c>
      <c r="C82" s="22" t="s">
        <v>481</v>
      </c>
      <c r="D82" s="17"/>
      <c r="E82" s="17"/>
      <c r="F82" s="17"/>
      <c r="G82" s="17"/>
      <c r="H82" s="17"/>
      <c r="I82" s="17"/>
      <c r="J82" s="17"/>
      <c r="K82" s="17"/>
      <c r="L82" s="17"/>
      <c r="M82" s="8">
        <f t="shared" si="1"/>
        <v>0</v>
      </c>
      <c r="N82" s="15">
        <f>VLOOKUP(B82,urnas!$C$6:$H$114,6)</f>
        <v>50</v>
      </c>
    </row>
    <row r="83" spans="2:14" ht="30" customHeight="1" x14ac:dyDescent="0.25">
      <c r="B83" s="9" t="s">
        <v>485</v>
      </c>
      <c r="C83" s="22" t="s">
        <v>486</v>
      </c>
      <c r="D83" s="17"/>
      <c r="E83" s="17"/>
      <c r="F83" s="17"/>
      <c r="G83" s="17"/>
      <c r="H83" s="17"/>
      <c r="I83" s="17"/>
      <c r="J83" s="17"/>
      <c r="K83" s="17"/>
      <c r="L83" s="17"/>
      <c r="M83" s="8">
        <f t="shared" si="1"/>
        <v>0</v>
      </c>
      <c r="N83" s="15">
        <f>VLOOKUP(B83,urnas!$C$6:$H$114,6)</f>
        <v>73</v>
      </c>
    </row>
    <row r="84" spans="2:14" ht="30" customHeight="1" x14ac:dyDescent="0.25">
      <c r="B84" s="9" t="s">
        <v>493</v>
      </c>
      <c r="C84" s="22" t="s">
        <v>494</v>
      </c>
      <c r="D84" s="17"/>
      <c r="E84" s="17"/>
      <c r="F84" s="17"/>
      <c r="G84" s="17"/>
      <c r="H84" s="17"/>
      <c r="I84" s="17"/>
      <c r="J84" s="17"/>
      <c r="K84" s="17"/>
      <c r="L84" s="17"/>
      <c r="M84" s="8">
        <f t="shared" si="1"/>
        <v>0</v>
      </c>
      <c r="N84" s="15">
        <f>VLOOKUP(B84,urnas!$C$6:$H$114,6)</f>
        <v>1064</v>
      </c>
    </row>
    <row r="85" spans="2:14" ht="30" customHeight="1" x14ac:dyDescent="0.25">
      <c r="B85" s="9" t="s">
        <v>498</v>
      </c>
      <c r="C85" s="22" t="s">
        <v>499</v>
      </c>
      <c r="D85" s="17"/>
      <c r="E85" s="17"/>
      <c r="F85" s="17"/>
      <c r="G85" s="17"/>
      <c r="H85" s="17"/>
      <c r="I85" s="17"/>
      <c r="J85" s="17"/>
      <c r="K85" s="17"/>
      <c r="L85" s="17"/>
      <c r="M85" s="8">
        <f t="shared" si="1"/>
        <v>0</v>
      </c>
      <c r="N85" s="15">
        <f>VLOOKUP(B85,urnas!$C$6:$H$114,6)</f>
        <v>44</v>
      </c>
    </row>
    <row r="86" spans="2:14" ht="30" customHeight="1" x14ac:dyDescent="0.25">
      <c r="B86" s="9" t="s">
        <v>503</v>
      </c>
      <c r="C86" s="22" t="s">
        <v>504</v>
      </c>
      <c r="D86" s="17"/>
      <c r="E86" s="17"/>
      <c r="F86" s="17"/>
      <c r="G86" s="17"/>
      <c r="H86" s="17"/>
      <c r="I86" s="17"/>
      <c r="J86" s="17"/>
      <c r="K86" s="17"/>
      <c r="L86" s="17"/>
      <c r="M86" s="8">
        <f t="shared" si="1"/>
        <v>0</v>
      </c>
      <c r="N86" s="15">
        <f>VLOOKUP(B86,urnas!$C$6:$H$114,6)</f>
        <v>352</v>
      </c>
    </row>
    <row r="87" spans="2:14" ht="30" customHeight="1" x14ac:dyDescent="0.25">
      <c r="B87" s="9" t="s">
        <v>511</v>
      </c>
      <c r="C87" s="22" t="s">
        <v>512</v>
      </c>
      <c r="D87" s="17"/>
      <c r="E87" s="17"/>
      <c r="F87" s="17"/>
      <c r="G87" s="17"/>
      <c r="H87" s="17"/>
      <c r="I87" s="17"/>
      <c r="J87" s="17"/>
      <c r="K87" s="17"/>
      <c r="L87" s="17"/>
      <c r="M87" s="8">
        <f t="shared" si="1"/>
        <v>0</v>
      </c>
      <c r="N87" s="15">
        <f>VLOOKUP(B87,urnas!$C$6:$H$114,6)</f>
        <v>5412</v>
      </c>
    </row>
    <row r="88" spans="2:14" ht="30" customHeight="1" x14ac:dyDescent="0.25">
      <c r="B88" s="9" t="s">
        <v>516</v>
      </c>
      <c r="C88" s="22" t="s">
        <v>517</v>
      </c>
      <c r="D88" s="17"/>
      <c r="E88" s="17"/>
      <c r="F88" s="17"/>
      <c r="G88" s="17"/>
      <c r="H88" s="17"/>
      <c r="I88" s="17"/>
      <c r="J88" s="17"/>
      <c r="K88" s="17"/>
      <c r="L88" s="17"/>
      <c r="M88" s="8">
        <f t="shared" si="1"/>
        <v>0</v>
      </c>
      <c r="N88" s="15">
        <f>VLOOKUP(B88,urnas!$C$6:$H$114,6)</f>
        <v>181</v>
      </c>
    </row>
    <row r="89" spans="2:14" ht="30" customHeight="1" x14ac:dyDescent="0.25">
      <c r="B89" s="9" t="s">
        <v>521</v>
      </c>
      <c r="C89" s="22" t="s">
        <v>522</v>
      </c>
      <c r="D89" s="17"/>
      <c r="E89" s="17"/>
      <c r="F89" s="17"/>
      <c r="G89" s="17"/>
      <c r="H89" s="17"/>
      <c r="I89" s="17"/>
      <c r="J89" s="17"/>
      <c r="K89" s="17"/>
      <c r="L89" s="17"/>
      <c r="M89" s="8">
        <f t="shared" si="1"/>
        <v>0</v>
      </c>
      <c r="N89" s="15">
        <f>VLOOKUP(B89,urnas!$C$6:$H$114,6)</f>
        <v>63</v>
      </c>
    </row>
    <row r="90" spans="2:14" ht="30" customHeight="1" x14ac:dyDescent="0.25">
      <c r="B90" s="9" t="s">
        <v>529</v>
      </c>
      <c r="C90" s="22" t="s">
        <v>530</v>
      </c>
      <c r="D90" s="17"/>
      <c r="E90" s="17"/>
      <c r="F90" s="17"/>
      <c r="G90" s="17"/>
      <c r="H90" s="17"/>
      <c r="I90" s="17"/>
      <c r="J90" s="17"/>
      <c r="K90" s="17"/>
      <c r="L90" s="17"/>
      <c r="M90" s="8">
        <f t="shared" si="1"/>
        <v>0</v>
      </c>
      <c r="N90" s="15">
        <f>VLOOKUP(B90,urnas!$C$6:$H$114,6)</f>
        <v>989</v>
      </c>
    </row>
    <row r="91" spans="2:14" ht="30" customHeight="1" x14ac:dyDescent="0.25">
      <c r="B91" s="9" t="s">
        <v>534</v>
      </c>
      <c r="C91" s="22" t="s">
        <v>535</v>
      </c>
      <c r="D91" s="17"/>
      <c r="E91" s="17"/>
      <c r="F91" s="17"/>
      <c r="G91" s="17"/>
      <c r="H91" s="17"/>
      <c r="I91" s="17"/>
      <c r="J91" s="17"/>
      <c r="K91" s="17"/>
      <c r="L91" s="17"/>
      <c r="M91" s="8">
        <f t="shared" si="1"/>
        <v>0</v>
      </c>
      <c r="N91" s="15">
        <f>VLOOKUP(B91,urnas!$C$6:$H$114,6)</f>
        <v>34</v>
      </c>
    </row>
    <row r="92" spans="2:14" ht="30" customHeight="1" x14ac:dyDescent="0.25">
      <c r="B92" s="9" t="s">
        <v>539</v>
      </c>
      <c r="C92" s="22" t="s">
        <v>540</v>
      </c>
      <c r="D92" s="17"/>
      <c r="E92" s="17"/>
      <c r="F92" s="17"/>
      <c r="G92" s="17"/>
      <c r="H92" s="17"/>
      <c r="I92" s="17"/>
      <c r="J92" s="17"/>
      <c r="K92" s="17"/>
      <c r="L92" s="17"/>
      <c r="M92" s="8">
        <f t="shared" si="1"/>
        <v>0</v>
      </c>
      <c r="N92" s="15">
        <f>VLOOKUP(B92,urnas!$C$6:$H$114,6)</f>
        <v>92</v>
      </c>
    </row>
    <row r="93" spans="2:14" ht="30" customHeight="1" x14ac:dyDescent="0.25">
      <c r="B93" s="9" t="s">
        <v>547</v>
      </c>
      <c r="C93" s="22" t="s">
        <v>548</v>
      </c>
      <c r="D93" s="17"/>
      <c r="E93" s="17"/>
      <c r="F93" s="17"/>
      <c r="G93" s="17"/>
      <c r="H93" s="17"/>
      <c r="I93" s="17"/>
      <c r="J93" s="17"/>
      <c r="K93" s="17"/>
      <c r="L93" s="17"/>
      <c r="M93" s="8">
        <f t="shared" si="1"/>
        <v>0</v>
      </c>
      <c r="N93" s="15">
        <f>VLOOKUP(B93,urnas!$C$6:$H$114,6)</f>
        <v>1247</v>
      </c>
    </row>
    <row r="94" spans="2:14" ht="30" customHeight="1" x14ac:dyDescent="0.25">
      <c r="B94" s="9" t="s">
        <v>552</v>
      </c>
      <c r="C94" s="22" t="s">
        <v>553</v>
      </c>
      <c r="D94" s="17"/>
      <c r="E94" s="17"/>
      <c r="F94" s="17"/>
      <c r="G94" s="17"/>
      <c r="H94" s="17"/>
      <c r="I94" s="17"/>
      <c r="J94" s="17"/>
      <c r="K94" s="17"/>
      <c r="L94" s="17"/>
      <c r="M94" s="8">
        <f t="shared" si="1"/>
        <v>0</v>
      </c>
      <c r="N94" s="15">
        <f>VLOOKUP(B94,urnas!$C$6:$H$114,6)</f>
        <v>57</v>
      </c>
    </row>
    <row r="95" spans="2:14" ht="30" customHeight="1" x14ac:dyDescent="0.25">
      <c r="B95" s="9" t="s">
        <v>557</v>
      </c>
      <c r="C95" s="22" t="s">
        <v>558</v>
      </c>
      <c r="D95" s="17"/>
      <c r="E95" s="17"/>
      <c r="F95" s="17"/>
      <c r="G95" s="17"/>
      <c r="H95" s="17"/>
      <c r="I95" s="17"/>
      <c r="J95" s="17"/>
      <c r="K95" s="17"/>
      <c r="L95" s="17"/>
      <c r="M95" s="8">
        <f t="shared" si="1"/>
        <v>0</v>
      </c>
      <c r="N95" s="15">
        <f>VLOOKUP(B95,urnas!$C$6:$H$114,6)</f>
        <v>51</v>
      </c>
    </row>
    <row r="96" spans="2:14" ht="30" customHeight="1" x14ac:dyDescent="0.25">
      <c r="B96" s="9" t="s">
        <v>565</v>
      </c>
      <c r="C96" s="22" t="s">
        <v>566</v>
      </c>
      <c r="D96" s="17"/>
      <c r="E96" s="17"/>
      <c r="F96" s="17"/>
      <c r="G96" s="17"/>
      <c r="H96" s="17"/>
      <c r="I96" s="17"/>
      <c r="J96" s="17"/>
      <c r="K96" s="17"/>
      <c r="L96" s="17"/>
      <c r="M96" s="8">
        <f t="shared" si="1"/>
        <v>0</v>
      </c>
      <c r="N96" s="15">
        <f>VLOOKUP(B96,urnas!$C$6:$H$114,6)</f>
        <v>677</v>
      </c>
    </row>
    <row r="97" spans="2:14" ht="30" customHeight="1" x14ac:dyDescent="0.25">
      <c r="B97" s="9" t="s">
        <v>570</v>
      </c>
      <c r="C97" s="22" t="s">
        <v>571</v>
      </c>
      <c r="D97" s="17"/>
      <c r="E97" s="17"/>
      <c r="F97" s="17"/>
      <c r="G97" s="17"/>
      <c r="H97" s="17"/>
      <c r="I97" s="17"/>
      <c r="J97" s="17"/>
      <c r="K97" s="17"/>
      <c r="L97" s="17"/>
      <c r="M97" s="8">
        <f t="shared" si="1"/>
        <v>0</v>
      </c>
      <c r="N97" s="15">
        <f>VLOOKUP(B97,urnas!$C$6:$H$114,6)</f>
        <v>40</v>
      </c>
    </row>
    <row r="98" spans="2:14" ht="30" customHeight="1" x14ac:dyDescent="0.25">
      <c r="B98" s="9" t="s">
        <v>575</v>
      </c>
      <c r="C98" s="22" t="s">
        <v>576</v>
      </c>
      <c r="D98" s="17"/>
      <c r="E98" s="17"/>
      <c r="F98" s="17"/>
      <c r="G98" s="17"/>
      <c r="H98" s="17"/>
      <c r="I98" s="17"/>
      <c r="J98" s="17"/>
      <c r="K98" s="17"/>
      <c r="L98" s="17"/>
      <c r="M98" s="8">
        <f t="shared" si="1"/>
        <v>0</v>
      </c>
      <c r="N98" s="15">
        <f>VLOOKUP(B98,urnas!$C$6:$H$114,6)</f>
        <v>70</v>
      </c>
    </row>
    <row r="99" spans="2:14" ht="30" customHeight="1" x14ac:dyDescent="0.25">
      <c r="B99" s="9" t="s">
        <v>583</v>
      </c>
      <c r="C99" s="22" t="s">
        <v>584</v>
      </c>
      <c r="D99" s="17"/>
      <c r="E99" s="17"/>
      <c r="F99" s="17"/>
      <c r="G99" s="17"/>
      <c r="H99" s="17"/>
      <c r="I99" s="17"/>
      <c r="J99" s="17"/>
      <c r="K99" s="17"/>
      <c r="L99" s="17"/>
      <c r="M99" s="8">
        <f t="shared" si="1"/>
        <v>0</v>
      </c>
      <c r="N99" s="15">
        <f>VLOOKUP(B99,urnas!$C$6:$H$114,6)</f>
        <v>1265</v>
      </c>
    </row>
    <row r="100" spans="2:14" ht="30" customHeight="1" x14ac:dyDescent="0.25">
      <c r="B100" s="9" t="s">
        <v>588</v>
      </c>
      <c r="C100" s="22" t="s">
        <v>589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8">
        <f t="shared" si="1"/>
        <v>0</v>
      </c>
      <c r="N100" s="15">
        <f>VLOOKUP(B100,urnas!$C$6:$H$114,6)</f>
        <v>41</v>
      </c>
    </row>
    <row r="101" spans="2:14" ht="30" customHeight="1" x14ac:dyDescent="0.25">
      <c r="B101" s="9" t="s">
        <v>593</v>
      </c>
      <c r="C101" s="22" t="s">
        <v>594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8">
        <f t="shared" si="1"/>
        <v>0</v>
      </c>
      <c r="N101" s="15">
        <f>VLOOKUP(B101,urnas!$C$6:$H$114,6)</f>
        <v>74</v>
      </c>
    </row>
    <row r="102" spans="2:14" ht="30" customHeight="1" x14ac:dyDescent="0.25">
      <c r="B102" s="9" t="s">
        <v>601</v>
      </c>
      <c r="C102" s="22" t="s">
        <v>602</v>
      </c>
      <c r="D102" s="17"/>
      <c r="E102" s="17"/>
      <c r="F102" s="17"/>
      <c r="G102" s="17"/>
      <c r="H102" s="17"/>
      <c r="I102" s="17"/>
      <c r="J102" s="17"/>
      <c r="K102" s="17"/>
      <c r="L102" s="17"/>
      <c r="M102" s="8">
        <f t="shared" si="1"/>
        <v>0</v>
      </c>
      <c r="N102" s="15">
        <f>VLOOKUP(B102,urnas!$C$6:$H$114,6)</f>
        <v>950</v>
      </c>
    </row>
    <row r="103" spans="2:14" ht="30" customHeight="1" x14ac:dyDescent="0.25">
      <c r="B103" s="9" t="s">
        <v>606</v>
      </c>
      <c r="C103" s="22" t="s">
        <v>607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8">
        <f t="shared" si="1"/>
        <v>0</v>
      </c>
      <c r="N103" s="15">
        <f>VLOOKUP(B103,urnas!$C$6:$H$114,6)</f>
        <v>43</v>
      </c>
    </row>
    <row r="104" spans="2:14" ht="30" customHeight="1" x14ac:dyDescent="0.25">
      <c r="B104" s="9" t="s">
        <v>611</v>
      </c>
      <c r="C104" s="22" t="s">
        <v>612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8">
        <f t="shared" si="1"/>
        <v>0</v>
      </c>
      <c r="N104" s="15">
        <f>VLOOKUP(B104,urnas!$C$6:$H$114,6)</f>
        <v>21</v>
      </c>
    </row>
    <row r="105" spans="2:14" ht="30" customHeight="1" x14ac:dyDescent="0.25">
      <c r="B105" s="9" t="s">
        <v>619</v>
      </c>
      <c r="C105" s="22" t="s">
        <v>620</v>
      </c>
      <c r="D105" s="17"/>
      <c r="E105" s="17"/>
      <c r="F105" s="17"/>
      <c r="G105" s="17"/>
      <c r="H105" s="17"/>
      <c r="I105" s="17"/>
      <c r="J105" s="17"/>
      <c r="K105" s="17"/>
      <c r="L105" s="17"/>
      <c r="M105" s="8">
        <f t="shared" si="1"/>
        <v>0</v>
      </c>
      <c r="N105" s="15">
        <f>VLOOKUP(B105,urnas!$C$6:$H$114,6)</f>
        <v>210</v>
      </c>
    </row>
    <row r="106" spans="2:14" ht="30" customHeight="1" x14ac:dyDescent="0.25">
      <c r="B106" s="9" t="s">
        <v>624</v>
      </c>
      <c r="C106" s="22" t="s">
        <v>625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8">
        <f t="shared" si="1"/>
        <v>0</v>
      </c>
      <c r="N106" s="15">
        <f>VLOOKUP(B106,urnas!$C$6:$H$114,6)</f>
        <v>13</v>
      </c>
    </row>
    <row r="107" spans="2:14" ht="30" customHeight="1" x14ac:dyDescent="0.25">
      <c r="B107" s="9" t="s">
        <v>629</v>
      </c>
      <c r="C107" s="22" t="s">
        <v>630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8">
        <f t="shared" si="1"/>
        <v>0</v>
      </c>
      <c r="N107" s="15">
        <f>VLOOKUP(B107,urnas!$C$6:$H$114,6)</f>
        <v>24</v>
      </c>
    </row>
    <row r="108" spans="2:14" ht="30" customHeight="1" x14ac:dyDescent="0.25">
      <c r="B108" s="9" t="s">
        <v>637</v>
      </c>
      <c r="C108" s="22" t="s">
        <v>638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8">
        <f t="shared" si="1"/>
        <v>0</v>
      </c>
      <c r="N108" s="15">
        <f>VLOOKUP(B108,urnas!$C$6:$H$114,6)</f>
        <v>289</v>
      </c>
    </row>
    <row r="109" spans="2:14" ht="30" customHeight="1" x14ac:dyDescent="0.25">
      <c r="B109" s="9" t="s">
        <v>642</v>
      </c>
      <c r="C109" s="22" t="s">
        <v>643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8">
        <f t="shared" si="1"/>
        <v>0</v>
      </c>
      <c r="N109" s="15">
        <f>VLOOKUP(B109,urnas!$C$6:$H$114,6)</f>
        <v>17</v>
      </c>
    </row>
    <row r="110" spans="2:14" ht="30" customHeight="1" x14ac:dyDescent="0.25">
      <c r="B110" s="9" t="s">
        <v>647</v>
      </c>
      <c r="C110" s="22" t="s">
        <v>648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8">
        <f t="shared" si="1"/>
        <v>0</v>
      </c>
      <c r="N110" s="15">
        <f>VLOOKUP(B110,urnas!$C$6:$H$114,6)</f>
        <v>21</v>
      </c>
    </row>
    <row r="111" spans="2:14" ht="30" customHeight="1" x14ac:dyDescent="0.25">
      <c r="B111" s="9" t="s">
        <v>655</v>
      </c>
      <c r="C111" s="22" t="s">
        <v>656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8">
        <f t="shared" si="1"/>
        <v>0</v>
      </c>
      <c r="N111" s="15">
        <f>VLOOKUP(B111,urnas!$C$6:$H$114,6)</f>
        <v>264</v>
      </c>
    </row>
    <row r="112" spans="2:14" ht="30" customHeight="1" x14ac:dyDescent="0.25">
      <c r="B112" s="9" t="s">
        <v>660</v>
      </c>
      <c r="C112" s="22" t="s">
        <v>661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8">
        <f t="shared" si="1"/>
        <v>0</v>
      </c>
      <c r="N112" s="15">
        <f>VLOOKUP(B112,urnas!$C$6:$H$114,6)</f>
        <v>10</v>
      </c>
    </row>
    <row r="113" spans="2:14" ht="30" customHeight="1" x14ac:dyDescent="0.25">
      <c r="B113" s="9" t="s">
        <v>665</v>
      </c>
      <c r="C113" s="22" t="s">
        <v>666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8">
        <f t="shared" si="1"/>
        <v>0</v>
      </c>
      <c r="N113" s="15">
        <f>VLOOKUP(B113,urnas!$C$6:$H$114,6)</f>
        <v>22</v>
      </c>
    </row>
    <row r="114" spans="2:14" ht="30" customHeight="1" x14ac:dyDescent="0.25">
      <c r="B114" s="9" t="s">
        <v>673</v>
      </c>
      <c r="C114" s="22" t="s">
        <v>674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8">
        <f t="shared" si="1"/>
        <v>0</v>
      </c>
      <c r="N114" s="15">
        <f>VLOOKUP(B114,urnas!$C$6:$H$114,6)</f>
        <v>225</v>
      </c>
    </row>
    <row r="115" spans="2:14" ht="30" customHeight="1" x14ac:dyDescent="0.25">
      <c r="B115" s="9" t="s">
        <v>678</v>
      </c>
      <c r="C115" s="22" t="s">
        <v>679</v>
      </c>
      <c r="D115" s="17"/>
      <c r="E115" s="17"/>
      <c r="F115" s="17"/>
      <c r="G115" s="17"/>
      <c r="H115" s="17"/>
      <c r="I115" s="17"/>
      <c r="J115" s="17"/>
      <c r="K115" s="17"/>
      <c r="L115" s="17"/>
      <c r="M115" s="8">
        <f t="shared" si="1"/>
        <v>0</v>
      </c>
      <c r="N115" s="15">
        <f>VLOOKUP(B115,urnas!$C$6:$H$114,6)</f>
        <v>13</v>
      </c>
    </row>
    <row r="116" spans="2:14" ht="30" customHeight="1" x14ac:dyDescent="0.25">
      <c r="B116" s="9" t="s">
        <v>683</v>
      </c>
      <c r="C116" s="22" t="s">
        <v>684</v>
      </c>
      <c r="D116" s="17"/>
      <c r="E116" s="17"/>
      <c r="F116" s="17"/>
      <c r="G116" s="17"/>
      <c r="H116" s="17"/>
      <c r="I116" s="17"/>
      <c r="J116" s="17"/>
      <c r="K116" s="17"/>
      <c r="L116" s="17"/>
      <c r="M116" s="8">
        <f t="shared" si="1"/>
        <v>0</v>
      </c>
      <c r="N116" s="15">
        <f>VLOOKUP(B116,urnas!$C$6:$H$114,6)</f>
        <v>265</v>
      </c>
    </row>
    <row r="120" spans="2:14" ht="21" x14ac:dyDescent="0.25">
      <c r="C120" s="3" t="s">
        <v>871</v>
      </c>
    </row>
    <row r="121" spans="2:14" ht="15.75" thickBot="1" x14ac:dyDescent="0.3"/>
    <row r="122" spans="2:14" ht="24.95" customHeight="1" x14ac:dyDescent="0.25">
      <c r="C122" s="48" t="s">
        <v>841</v>
      </c>
      <c r="D122" s="50" t="s">
        <v>840</v>
      </c>
      <c r="E122" s="51"/>
      <c r="F122" s="51"/>
      <c r="G122" s="51"/>
      <c r="H122" s="51"/>
      <c r="I122" s="51"/>
      <c r="J122" s="51"/>
      <c r="K122" s="51"/>
      <c r="L122" s="51"/>
      <c r="M122" s="51"/>
      <c r="N122" s="52"/>
    </row>
    <row r="123" spans="2:14" ht="50.1" customHeight="1" x14ac:dyDescent="0.25">
      <c r="C123" s="49"/>
      <c r="D123" s="6" t="str">
        <f>D7</f>
        <v>Antônio Augusto Teixeira Pinto de Moraes</v>
      </c>
      <c r="E123" s="6" t="str">
        <f t="shared" ref="E123:L123" si="2">E7</f>
        <v>Edson d'Ávila</v>
      </c>
      <c r="F123" s="6" t="str">
        <f t="shared" si="2"/>
        <v>Elaine Inácio Bueno</v>
      </c>
      <c r="G123" s="6" t="str">
        <f t="shared" si="2"/>
        <v>Maurício França Silva</v>
      </c>
      <c r="H123" s="6" t="str">
        <f t="shared" si="2"/>
        <v>Rovílson Dias da Silva</v>
      </c>
      <c r="I123" s="6" t="str">
        <f t="shared" si="2"/>
        <v>Silmário Batista dos Santos</v>
      </c>
      <c r="J123" s="6" t="str">
        <f t="shared" si="2"/>
        <v>Wilson de Andrade Matos</v>
      </c>
      <c r="K123" s="6" t="str">
        <f t="shared" si="2"/>
        <v>Brancos</v>
      </c>
      <c r="L123" s="6" t="str">
        <f t="shared" si="2"/>
        <v>Nulos</v>
      </c>
      <c r="M123" s="6" t="s">
        <v>855</v>
      </c>
      <c r="N123" s="13" t="s">
        <v>872</v>
      </c>
    </row>
    <row r="124" spans="2:14" ht="24.95" customHeight="1" x14ac:dyDescent="0.25">
      <c r="C124" s="9" t="s">
        <v>842</v>
      </c>
      <c r="D124" s="41">
        <f>SUM(D8,D11,D14,D17,D20,D23,D26,D29,D32,D35,D38,D41,D44,D47,D50,D53,D56,D59,D62,D65,D68,D71,D74,D77,D80,D83,D86,D89,D92,D95,D98,D101,D104,D107,D110,D113)</f>
        <v>0</v>
      </c>
      <c r="E124" s="41">
        <f t="shared" ref="E124:N124" si="3">SUM(E8,E11,E14,E17,E20,E23,E26,E29,E32,E35,E38,E41,E44,E47,E50,E53,E56,E59,E62,E65,E68,E71,E74,E77,E80,E83,E86,E89,E92,E95,E98,E101,E104,E107,E110,E113)</f>
        <v>0</v>
      </c>
      <c r="F124" s="41">
        <f t="shared" si="3"/>
        <v>0</v>
      </c>
      <c r="G124" s="41">
        <f t="shared" si="3"/>
        <v>0</v>
      </c>
      <c r="H124" s="41">
        <f t="shared" si="3"/>
        <v>0</v>
      </c>
      <c r="I124" s="41">
        <f t="shared" si="3"/>
        <v>0</v>
      </c>
      <c r="J124" s="41">
        <f t="shared" si="3"/>
        <v>0</v>
      </c>
      <c r="K124" s="41">
        <f t="shared" si="3"/>
        <v>0</v>
      </c>
      <c r="L124" s="41">
        <f t="shared" si="3"/>
        <v>0</v>
      </c>
      <c r="M124" s="41">
        <f t="shared" si="3"/>
        <v>0</v>
      </c>
      <c r="N124" s="42">
        <f t="shared" si="3"/>
        <v>2599</v>
      </c>
    </row>
    <row r="125" spans="2:14" ht="24.95" customHeight="1" x14ac:dyDescent="0.25">
      <c r="C125" s="9" t="s">
        <v>843</v>
      </c>
      <c r="D125" s="41">
        <f t="shared" ref="D125:N125" si="4">SUM(D9,D12,D15,D18,D21,D24,D27,D30,D33,D36,D39,D42,D45,D48,D51,D54,D57,D60,D63,D66,D69,D72,D75,D78,D81,D84,D87,D90,D93,D96,D99,D102,D105,D108,D111,D114)</f>
        <v>0</v>
      </c>
      <c r="E125" s="41">
        <f t="shared" si="4"/>
        <v>0</v>
      </c>
      <c r="F125" s="41">
        <f t="shared" si="4"/>
        <v>0</v>
      </c>
      <c r="G125" s="41">
        <f t="shared" si="4"/>
        <v>0</v>
      </c>
      <c r="H125" s="41">
        <f t="shared" si="4"/>
        <v>0</v>
      </c>
      <c r="I125" s="41">
        <f t="shared" si="4"/>
        <v>0</v>
      </c>
      <c r="J125" s="41">
        <f t="shared" si="4"/>
        <v>0</v>
      </c>
      <c r="K125" s="41">
        <f t="shared" si="4"/>
        <v>0</v>
      </c>
      <c r="L125" s="41">
        <f t="shared" si="4"/>
        <v>0</v>
      </c>
      <c r="M125" s="41">
        <f t="shared" si="4"/>
        <v>0</v>
      </c>
      <c r="N125" s="42">
        <f t="shared" si="4"/>
        <v>38171</v>
      </c>
    </row>
    <row r="126" spans="2:14" ht="24.95" customHeight="1" x14ac:dyDescent="0.25">
      <c r="C126" s="9" t="s">
        <v>51</v>
      </c>
      <c r="D126" s="41">
        <f>SUM(D10,D13,D16,D19,D22,D25,D28,D31,D34,D37,D40,D43,D46,D49,D52,D55,D58,D61,D64,D67,D70,D73,D76,D79,D82,D85,D88,D91,D94,D97,D100,D103,D106,D109,D112,D115,D116)</f>
        <v>0</v>
      </c>
      <c r="E126" s="41">
        <f t="shared" ref="E126:N126" si="5">SUM(E10,E13,E16,E19,E22,E25,E28,E31,E34,E37,E40,E43,E46,E49,E52,E55,E58,E61,E64,E67,E70,E73,E76,E79,E82,E85,E88,E91,E94,E97,E100,E103,E106,E109,E112,E115,E116)</f>
        <v>0</v>
      </c>
      <c r="F126" s="41">
        <f t="shared" si="5"/>
        <v>0</v>
      </c>
      <c r="G126" s="41">
        <f t="shared" si="5"/>
        <v>0</v>
      </c>
      <c r="H126" s="41">
        <f t="shared" si="5"/>
        <v>0</v>
      </c>
      <c r="I126" s="41">
        <f t="shared" si="5"/>
        <v>0</v>
      </c>
      <c r="J126" s="41">
        <f t="shared" si="5"/>
        <v>0</v>
      </c>
      <c r="K126" s="41">
        <f t="shared" si="5"/>
        <v>0</v>
      </c>
      <c r="L126" s="41">
        <f t="shared" si="5"/>
        <v>0</v>
      </c>
      <c r="M126" s="41">
        <f t="shared" si="5"/>
        <v>0</v>
      </c>
      <c r="N126" s="42">
        <f t="shared" si="5"/>
        <v>1865</v>
      </c>
    </row>
    <row r="127" spans="2:14" ht="24.95" customHeight="1" thickBot="1" x14ac:dyDescent="0.3">
      <c r="C127" s="24" t="s">
        <v>855</v>
      </c>
      <c r="D127" s="43">
        <f>SUM(D124:D126)</f>
        <v>0</v>
      </c>
      <c r="E127" s="43">
        <f t="shared" ref="E127:N127" si="6">SUM(E124:E126)</f>
        <v>0</v>
      </c>
      <c r="F127" s="43">
        <f t="shared" si="6"/>
        <v>0</v>
      </c>
      <c r="G127" s="43">
        <f t="shared" si="6"/>
        <v>0</v>
      </c>
      <c r="H127" s="43">
        <f t="shared" si="6"/>
        <v>0</v>
      </c>
      <c r="I127" s="43">
        <f t="shared" si="6"/>
        <v>0</v>
      </c>
      <c r="J127" s="43">
        <f t="shared" si="6"/>
        <v>0</v>
      </c>
      <c r="K127" s="43">
        <f t="shared" si="6"/>
        <v>0</v>
      </c>
      <c r="L127" s="43">
        <f t="shared" si="6"/>
        <v>0</v>
      </c>
      <c r="M127" s="43">
        <f t="shared" si="6"/>
        <v>0</v>
      </c>
      <c r="N127" s="44">
        <f t="shared" si="6"/>
        <v>42635</v>
      </c>
    </row>
    <row r="131" spans="2:14" ht="21" x14ac:dyDescent="0.25">
      <c r="C131" s="3" t="s">
        <v>770</v>
      </c>
    </row>
    <row r="132" spans="2:14" ht="15.75" thickBot="1" x14ac:dyDescent="0.3"/>
    <row r="133" spans="2:14" ht="24.95" customHeight="1" x14ac:dyDescent="0.25">
      <c r="C133" s="48" t="s">
        <v>841</v>
      </c>
      <c r="D133" s="50" t="s">
        <v>840</v>
      </c>
      <c r="E133" s="51"/>
      <c r="F133" s="51"/>
      <c r="G133" s="51"/>
      <c r="H133" s="51"/>
      <c r="I133" s="51"/>
      <c r="J133" s="52"/>
      <c r="K133" s="12"/>
      <c r="L133" s="12"/>
      <c r="M133" s="12"/>
      <c r="N133" s="12"/>
    </row>
    <row r="134" spans="2:14" ht="50.1" customHeight="1" x14ac:dyDescent="0.25">
      <c r="C134" s="49"/>
      <c r="D134" s="6" t="str">
        <f>D7</f>
        <v>Antônio Augusto Teixeira Pinto de Moraes</v>
      </c>
      <c r="E134" s="6" t="str">
        <f t="shared" ref="E134:J134" si="7">E7</f>
        <v>Edson d'Ávila</v>
      </c>
      <c r="F134" s="6" t="str">
        <f t="shared" si="7"/>
        <v>Elaine Inácio Bueno</v>
      </c>
      <c r="G134" s="6" t="str">
        <f t="shared" si="7"/>
        <v>Maurício França Silva</v>
      </c>
      <c r="H134" s="6" t="str">
        <f t="shared" si="7"/>
        <v>Rovílson Dias da Silva</v>
      </c>
      <c r="I134" s="6" t="str">
        <f t="shared" si="7"/>
        <v>Silmário Batista dos Santos</v>
      </c>
      <c r="J134" s="13" t="str">
        <f t="shared" si="7"/>
        <v>Wilson de Andrade Matos</v>
      </c>
      <c r="K134" s="12"/>
      <c r="L134" s="12"/>
      <c r="M134" s="12"/>
      <c r="N134" s="12"/>
    </row>
    <row r="135" spans="2:14" ht="24.95" customHeight="1" x14ac:dyDescent="0.25">
      <c r="C135" s="9" t="s">
        <v>842</v>
      </c>
      <c r="D135" s="32">
        <f>IF(D124=0,0,100*(1/3*(D124/$N124)))</f>
        <v>0</v>
      </c>
      <c r="E135" s="32">
        <f t="shared" ref="E135:J135" si="8">IF(E124=0,0,100*(1/3*(E124/$N124)))</f>
        <v>0</v>
      </c>
      <c r="F135" s="32">
        <f t="shared" si="8"/>
        <v>0</v>
      </c>
      <c r="G135" s="32">
        <f t="shared" si="8"/>
        <v>0</v>
      </c>
      <c r="H135" s="32">
        <f t="shared" si="8"/>
        <v>0</v>
      </c>
      <c r="I135" s="32">
        <f t="shared" si="8"/>
        <v>0</v>
      </c>
      <c r="J135" s="33">
        <f t="shared" si="8"/>
        <v>0</v>
      </c>
      <c r="K135" s="12"/>
      <c r="L135" s="12"/>
      <c r="M135" s="12"/>
      <c r="N135" s="12"/>
    </row>
    <row r="136" spans="2:14" ht="24.95" customHeight="1" x14ac:dyDescent="0.25">
      <c r="C136" s="9" t="s">
        <v>843</v>
      </c>
      <c r="D136" s="32">
        <f t="shared" ref="D136:J137" si="9">IF(D125=0,0,100*(1/3*(D125/$N125)))</f>
        <v>0</v>
      </c>
      <c r="E136" s="32">
        <f t="shared" si="9"/>
        <v>0</v>
      </c>
      <c r="F136" s="32">
        <f t="shared" si="9"/>
        <v>0</v>
      </c>
      <c r="G136" s="32">
        <f t="shared" si="9"/>
        <v>0</v>
      </c>
      <c r="H136" s="32">
        <f t="shared" si="9"/>
        <v>0</v>
      </c>
      <c r="I136" s="32">
        <f t="shared" si="9"/>
        <v>0</v>
      </c>
      <c r="J136" s="33">
        <f t="shared" si="9"/>
        <v>0</v>
      </c>
      <c r="K136" s="12"/>
      <c r="L136" s="12"/>
      <c r="M136" s="12"/>
      <c r="N136" s="12"/>
    </row>
    <row r="137" spans="2:14" ht="24.95" customHeight="1" x14ac:dyDescent="0.25">
      <c r="C137" s="9" t="s">
        <v>51</v>
      </c>
      <c r="D137" s="32">
        <f t="shared" si="9"/>
        <v>0</v>
      </c>
      <c r="E137" s="32">
        <f t="shared" si="9"/>
        <v>0</v>
      </c>
      <c r="F137" s="32">
        <f t="shared" si="9"/>
        <v>0</v>
      </c>
      <c r="G137" s="32">
        <f t="shared" si="9"/>
        <v>0</v>
      </c>
      <c r="H137" s="32">
        <f t="shared" si="9"/>
        <v>0</v>
      </c>
      <c r="I137" s="32">
        <f t="shared" si="9"/>
        <v>0</v>
      </c>
      <c r="J137" s="33">
        <f t="shared" si="9"/>
        <v>0</v>
      </c>
      <c r="K137" s="12"/>
      <c r="L137" s="12"/>
      <c r="M137" s="12"/>
      <c r="N137" s="12"/>
    </row>
    <row r="138" spans="2:14" ht="24.95" customHeight="1" thickBot="1" x14ac:dyDescent="0.3">
      <c r="C138" s="24" t="s">
        <v>848</v>
      </c>
      <c r="D138" s="25">
        <f>SUM(D135:D137)</f>
        <v>0</v>
      </c>
      <c r="E138" s="25">
        <f t="shared" ref="E138" si="10">SUM(E135:E137)</f>
        <v>0</v>
      </c>
      <c r="F138" s="25">
        <f t="shared" ref="F138" si="11">SUM(F135:F137)</f>
        <v>0</v>
      </c>
      <c r="G138" s="25">
        <f t="shared" ref="G138" si="12">SUM(G135:G137)</f>
        <v>0</v>
      </c>
      <c r="H138" s="25">
        <f t="shared" ref="H138" si="13">SUM(H135:H137)</f>
        <v>0</v>
      </c>
      <c r="I138" s="25">
        <f t="shared" ref="I138" si="14">SUM(I135:I137)</f>
        <v>0</v>
      </c>
      <c r="J138" s="26">
        <f t="shared" ref="J138" si="15">SUM(J135:J137)</f>
        <v>0</v>
      </c>
      <c r="K138" s="12"/>
      <c r="L138" s="12"/>
      <c r="M138" s="12"/>
      <c r="N138" s="12"/>
    </row>
    <row r="142" spans="2:14" ht="21" x14ac:dyDescent="0.25">
      <c r="C142" s="3" t="s">
        <v>856</v>
      </c>
    </row>
    <row r="143" spans="2:14" ht="15.75" thickBot="1" x14ac:dyDescent="0.3"/>
    <row r="144" spans="2:14" ht="24.95" customHeight="1" x14ac:dyDescent="0.25">
      <c r="B144" s="21"/>
      <c r="C144" s="48" t="s">
        <v>840</v>
      </c>
      <c r="D144" s="53"/>
      <c r="E144" s="53"/>
      <c r="F144" s="53"/>
      <c r="G144" s="27" t="s">
        <v>848</v>
      </c>
    </row>
    <row r="145" spans="2:8" ht="24.95" customHeight="1" x14ac:dyDescent="0.25">
      <c r="B145" s="31" t="s">
        <v>852</v>
      </c>
      <c r="C145" s="58"/>
      <c r="D145" s="59"/>
      <c r="E145" s="59"/>
      <c r="F145" s="59"/>
      <c r="G145" s="28" t="str">
        <f>IF(COUNTA($D$8:$L$116)=(9*109),LARGE($D$138:$J$138,1),"")</f>
        <v/>
      </c>
    </row>
    <row r="146" spans="2:8" ht="21" x14ac:dyDescent="0.25">
      <c r="B146" s="31" t="s">
        <v>853</v>
      </c>
      <c r="C146" s="58"/>
      <c r="D146" s="59"/>
      <c r="E146" s="59"/>
      <c r="F146" s="59"/>
      <c r="G146" s="28" t="str">
        <f>IF(COUNTA($D$8:$L$116)=(9*109),LARGE($D$138:$J$138,2),"")</f>
        <v/>
      </c>
    </row>
    <row r="147" spans="2:8" ht="21" x14ac:dyDescent="0.25">
      <c r="B147" s="31" t="s">
        <v>854</v>
      </c>
      <c r="C147" s="58"/>
      <c r="D147" s="59"/>
      <c r="E147" s="59"/>
      <c r="F147" s="59"/>
      <c r="G147" s="28" t="str">
        <f>IF(COUNTA($D$8:$L$116)=(9*109),LARGE($D$138:$J$138,3),"")</f>
        <v/>
      </c>
    </row>
    <row r="148" spans="2:8" ht="21" x14ac:dyDescent="0.25">
      <c r="B148" s="31" t="s">
        <v>873</v>
      </c>
      <c r="C148" s="58"/>
      <c r="D148" s="59"/>
      <c r="E148" s="59"/>
      <c r="F148" s="59"/>
      <c r="G148" s="28" t="str">
        <f>IF(COUNTA($D$8:$L$116)=(9*109),LARGE($D$138:$J$138,4),"")</f>
        <v/>
      </c>
    </row>
    <row r="149" spans="2:8" ht="21" x14ac:dyDescent="0.25">
      <c r="B149" s="31" t="s">
        <v>874</v>
      </c>
      <c r="C149" s="58"/>
      <c r="D149" s="59"/>
      <c r="E149" s="59"/>
      <c r="F149" s="59"/>
      <c r="G149" s="28" t="str">
        <f>IF(COUNTA($D$8:$L$116)=(9*109),LARGE($D$138:$J$138,5),"")</f>
        <v/>
      </c>
    </row>
    <row r="150" spans="2:8" ht="21" x14ac:dyDescent="0.25">
      <c r="B150" s="31" t="s">
        <v>875</v>
      </c>
      <c r="C150" s="58"/>
      <c r="D150" s="59"/>
      <c r="E150" s="59"/>
      <c r="F150" s="59"/>
      <c r="G150" s="28" t="str">
        <f>IF(COUNTA($D$8:$L$116)=(9*109),LARGE($D$138:$J$138,6),"")</f>
        <v/>
      </c>
    </row>
    <row r="151" spans="2:8" ht="21.75" thickBot="1" x14ac:dyDescent="0.3">
      <c r="B151" s="31" t="s">
        <v>876</v>
      </c>
      <c r="C151" s="60"/>
      <c r="D151" s="61"/>
      <c r="E151" s="61"/>
      <c r="F151" s="61"/>
      <c r="G151" s="29" t="str">
        <f>IF(COUNTA($D$8:$L$116)=(9*109),LARGE($D$138:$J$138,7),"")</f>
        <v/>
      </c>
    </row>
    <row r="152" spans="2:8" x14ac:dyDescent="0.25">
      <c r="C152" s="12"/>
      <c r="D152" s="12"/>
      <c r="E152" s="12"/>
      <c r="F152" s="12"/>
      <c r="G152" s="12"/>
      <c r="H152" s="12"/>
    </row>
    <row r="153" spans="2:8" ht="23.25" x14ac:dyDescent="0.25">
      <c r="B153" s="5" t="str">
        <f>IF(COUNTA(D8:L116)=(9*109),IF(G145&gt;(SUM(G146:G151)), "Eleição encerrada no primeiro turno.", "Haverá segundo turno entre os dois primeiro colocados"),"")</f>
        <v/>
      </c>
    </row>
    <row r="154" spans="2:8" ht="23.25" x14ac:dyDescent="0.25">
      <c r="B154" s="5" t="str">
        <f>IF(COUNTA(D8:L116)=(9*109),"Em caso de empate utilizar os critérios elencados no código eleitoral","")</f>
        <v/>
      </c>
    </row>
  </sheetData>
  <sheetProtection algorithmName="SHA-512" hashValue="M62+G7zYYP1OJ5rRknObCQOXZ0duSogAIhav7dHeSSZJ2yA/MwOntnV2fRtKAdaXd07eRcEe2Gz8CLyHm2dI9Q==" saltValue="VmWoSzNIt3Q3MW3p2pyxGA==" spinCount="100000" sheet="1" objects="1" scenarios="1" selectLockedCells="1"/>
  <mergeCells count="16">
    <mergeCell ref="C150:F150"/>
    <mergeCell ref="C151:F151"/>
    <mergeCell ref="C144:F144"/>
    <mergeCell ref="C145:F145"/>
    <mergeCell ref="C146:F146"/>
    <mergeCell ref="C147:F147"/>
    <mergeCell ref="C148:F148"/>
    <mergeCell ref="C149:F149"/>
    <mergeCell ref="C122:C123"/>
    <mergeCell ref="D122:N122"/>
    <mergeCell ref="C133:C134"/>
    <mergeCell ref="D133:J133"/>
    <mergeCell ref="B6:B7"/>
    <mergeCell ref="C6:C7"/>
    <mergeCell ref="D6:M6"/>
    <mergeCell ref="N6:N7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Caraguatatuba</v>
      </c>
      <c r="H3" s="34">
        <v>10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Juliana Barbara Moraes</v>
      </c>
      <c r="E7" s="6" t="str">
        <f>VLOOKUP($H$3,campus!$A$2:$P$37,7)</f>
        <v>Leandro César de Lorena Peixoto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028</v>
      </c>
      <c r="C8" s="22" t="str">
        <f>VLOOKUP(3*$H$3-2,urnas!$B$6:$D$114,3)</f>
        <v>Docentes do Câmpus Caraguatatuba</v>
      </c>
      <c r="D8" s="17"/>
      <c r="E8" s="17"/>
      <c r="F8" s="17"/>
      <c r="G8" s="17"/>
      <c r="H8" s="8">
        <f>SUM(D8:G8)</f>
        <v>0</v>
      </c>
      <c r="I8" s="15">
        <f>VLOOKUP(B8,urnas!$C$6:$H$114,6)</f>
        <v>68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029</v>
      </c>
      <c r="C9" s="22" t="str">
        <f>VLOOKUP(3*$H$3-1,urnas!$B$6:$D$114,3)</f>
        <v>Discentes do Câmpus Caraguatatuba</v>
      </c>
      <c r="D9" s="17"/>
      <c r="E9" s="17"/>
      <c r="F9" s="17"/>
      <c r="G9" s="17"/>
      <c r="H9" s="8">
        <f>SUM(D9:G9)</f>
        <v>0</v>
      </c>
      <c r="I9" s="15">
        <f>VLOOKUP(B9,urnas!$C$6:$H$114,6)</f>
        <v>1196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030</v>
      </c>
      <c r="C10" s="23" t="str">
        <f>VLOOKUP(3*$H$3,urnas!$B$6:$D$114,3)</f>
        <v>Técnicos Administrativos do Câmpus Caraguatatuba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45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Juliana Barbara Moraes</v>
      </c>
      <c r="E18" s="6" t="str">
        <f>VLOOKUP($H$3,campus!$A$2:$P$37,7)</f>
        <v>Leandro César de Lorena Peixoto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Juliana Barbara Moraes</v>
      </c>
      <c r="E23" s="2" t="str">
        <f>E18</f>
        <v>Leandro César de Lorena Peixoto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A1:M31"/>
  <sheetViews>
    <sheetView workbookViewId="0">
      <selection activeCell="D8" sqref="D8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",VLOOKUP($H$3,campus!$A$2:$C$38,3))</f>
        <v>Diretor Geral - Câmpus Capivari</v>
      </c>
      <c r="H3" s="34">
        <v>9</v>
      </c>
    </row>
    <row r="5" spans="1:13" ht="15.75" thickBot="1" x14ac:dyDescent="0.3">
      <c r="K5" s="2">
        <f>LARGE(D22:D22,1)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Letícia Pedroso Ramos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025</v>
      </c>
      <c r="C8" s="22" t="str">
        <f>VLOOKUP(3*$H$3-2,urnas!$B$6:$D$114,3)</f>
        <v>Docentes do Câmpus Capivari</v>
      </c>
      <c r="D8" s="17"/>
      <c r="E8" s="17"/>
      <c r="F8" s="17"/>
      <c r="G8" s="8">
        <f>SUM(D8:F8)</f>
        <v>0</v>
      </c>
      <c r="H8" s="15">
        <f>VLOOKUP(B8,urnas!$C$6:$H$114,6)</f>
        <v>65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026</v>
      </c>
      <c r="C9" s="22" t="str">
        <f>VLOOKUP(3*$H$3-1,urnas!$B$6:$D$114,3)</f>
        <v>Discentes do Câmpus Capivari</v>
      </c>
      <c r="D9" s="17"/>
      <c r="E9" s="17"/>
      <c r="F9" s="17"/>
      <c r="G9" s="8">
        <f>SUM(D9:F9)</f>
        <v>0</v>
      </c>
      <c r="H9" s="15">
        <f>VLOOKUP(B9,urnas!$C$6:$H$114,6)</f>
        <v>740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027</v>
      </c>
      <c r="C10" s="23" t="str">
        <f>VLOOKUP(3*$H$3,urnas!$B$6:$D$114,3)</f>
        <v>Técnicos Administrativos do Câmpus Capivari</v>
      </c>
      <c r="D10" s="17"/>
      <c r="E10" s="17"/>
      <c r="F10" s="17"/>
      <c r="G10" s="11">
        <f>SUM(D10:F10)</f>
        <v>0</v>
      </c>
      <c r="H10" s="16">
        <f>VLOOKUP(B10,urnas!$C$6:$H$114,6)</f>
        <v>43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Letícia Pedroso Ramos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842</v>
      </c>
      <c r="D19" s="32">
        <f>IF(ISBLANK(D8),0,100*(1/3*(D8/$H8)))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IF(ISBLANK(D9),0,100*(1/3*(D9/$H9)))</f>
        <v>0</v>
      </c>
      <c r="F20" s="5" t="str">
        <f>IF(COUNTA(D8:F10)=9,"Eleição encerrada no primeiro turno.","")</f>
        <v/>
      </c>
    </row>
    <row r="21" spans="2:11" ht="24.95" customHeight="1" x14ac:dyDescent="0.25">
      <c r="B21" s="12"/>
      <c r="C21" s="9" t="s">
        <v>51</v>
      </c>
      <c r="D21" s="32">
        <f>IF(ISBLANK(D10),0,100*(1/3*(D10/$H10)))</f>
        <v>0</v>
      </c>
      <c r="F21" s="5"/>
    </row>
    <row r="22" spans="2:11" ht="16.5" thickBot="1" x14ac:dyDescent="0.3">
      <c r="C22" s="24" t="s">
        <v>848</v>
      </c>
      <c r="D22" s="25">
        <f>SUM(D19:D21)</f>
        <v>0</v>
      </c>
    </row>
    <row r="23" spans="2:11" x14ac:dyDescent="0.25">
      <c r="D23" s="2" t="str">
        <f>D18</f>
        <v>Letícia Pedroso Ramos</v>
      </c>
    </row>
    <row r="28" spans="2:11" ht="24.95" customHeight="1" x14ac:dyDescent="0.25"/>
    <row r="29" spans="2:11" ht="33.950000000000003" customHeight="1" x14ac:dyDescent="0.25"/>
    <row r="30" spans="2:11" ht="33.950000000000003" customHeight="1" x14ac:dyDescent="0.25"/>
    <row r="31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Q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6" width="25.7109375" style="1" customWidth="1"/>
    <col min="7" max="9" width="10.7109375" style="1" customWidth="1"/>
    <col min="10" max="10" width="18.5703125" style="1" bestFit="1" customWidth="1"/>
    <col min="11" max="16384" width="9.140625" style="1"/>
  </cols>
  <sheetData>
    <row r="1" spans="1:17" x14ac:dyDescent="0.25">
      <c r="A1" s="2">
        <v>1</v>
      </c>
    </row>
    <row r="2" spans="1:17" ht="28.5" x14ac:dyDescent="0.25">
      <c r="B2" s="4" t="s">
        <v>766</v>
      </c>
    </row>
    <row r="3" spans="1:17" ht="23.25" x14ac:dyDescent="0.25">
      <c r="B3" s="5" t="str">
        <f>_xlfn.CONCAT("Diretor Geral - Câmpus ",VLOOKUP($H$3,campus!$A$2:$C$38,3))</f>
        <v>Diretor Geral - Câmpus Campos do Jordão</v>
      </c>
      <c r="H3" s="34">
        <v>8</v>
      </c>
    </row>
    <row r="5" spans="1:17" ht="15.75" thickBot="1" x14ac:dyDescent="0.3">
      <c r="M5" s="2">
        <f>LARGE(D22:F22,1)</f>
        <v>0</v>
      </c>
      <c r="N5" s="2">
        <f>LARGE(D22:F22,2)</f>
        <v>0</v>
      </c>
      <c r="O5" s="2">
        <f>LARGE(D22:F22,3)</f>
        <v>0</v>
      </c>
      <c r="P5" s="2"/>
      <c r="Q5" s="2"/>
    </row>
    <row r="6" spans="1:17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1"/>
      <c r="I6" s="55"/>
      <c r="J6" s="56" t="s">
        <v>839</v>
      </c>
      <c r="M6" s="2" t="s">
        <v>849</v>
      </c>
      <c r="N6" s="2" t="s">
        <v>850</v>
      </c>
      <c r="O6" s="2" t="s">
        <v>851</v>
      </c>
      <c r="P6" s="2"/>
      <c r="Q6" s="2"/>
    </row>
    <row r="7" spans="1:17" ht="51" customHeight="1" x14ac:dyDescent="0.25">
      <c r="B7" s="49"/>
      <c r="C7" s="54"/>
      <c r="D7" s="6" t="str">
        <f>VLOOKUP($H$3,campus!$A$2:$P$37,6)</f>
        <v>Luciano Wanderley Mano Sanches</v>
      </c>
      <c r="E7" s="6" t="str">
        <f>VLOOKUP($H$3,campus!$A$2:$P$37,7)</f>
        <v>Maria Madalena de Souza Santos</v>
      </c>
      <c r="F7" s="6" t="str">
        <f>VLOOKUP($H$3,campus!$A$2:$P$37,8)</f>
        <v>Walter Luiz Andrade de Oliveira</v>
      </c>
      <c r="G7" s="7" t="s">
        <v>768</v>
      </c>
      <c r="H7" s="7" t="s">
        <v>769</v>
      </c>
      <c r="I7" s="6" t="s">
        <v>844</v>
      </c>
      <c r="J7" s="57"/>
      <c r="M7" s="2"/>
      <c r="N7" s="2"/>
      <c r="O7" s="2"/>
      <c r="P7" s="2"/>
      <c r="Q7" s="2"/>
    </row>
    <row r="8" spans="1:17" ht="33.950000000000003" customHeight="1" x14ac:dyDescent="0.25">
      <c r="B8" s="9" t="str">
        <f>VLOOKUP(3*$H$3-2,urnas!$B$6:$D$114,2)</f>
        <v>Urna 022</v>
      </c>
      <c r="C8" s="22" t="str">
        <f>VLOOKUP(3*$H$3-2,urnas!$B$6:$D$114,3)</f>
        <v>Docentes do Câmpus Campos do Jordão</v>
      </c>
      <c r="D8" s="17"/>
      <c r="E8" s="17"/>
      <c r="F8" s="17"/>
      <c r="G8" s="17"/>
      <c r="H8" s="17"/>
      <c r="I8" s="8">
        <f t="shared" ref="I8:I10" si="0">SUM(D8:H8)</f>
        <v>0</v>
      </c>
      <c r="J8" s="15">
        <f>VLOOKUP(B8,urnas!$C$6:$H$114,6)</f>
        <v>60</v>
      </c>
      <c r="M8" s="2"/>
      <c r="N8" s="2"/>
      <c r="O8" s="2"/>
      <c r="P8" s="2"/>
      <c r="Q8" s="2"/>
    </row>
    <row r="9" spans="1:17" ht="33.950000000000003" customHeight="1" x14ac:dyDescent="0.25">
      <c r="B9" s="9" t="str">
        <f>VLOOKUP(3*$H$3-1,urnas!$B$6:$D$114,2)</f>
        <v>Urna 023</v>
      </c>
      <c r="C9" s="22" t="str">
        <f>VLOOKUP(3*$H$3-1,urnas!$B$6:$D$114,3)</f>
        <v>Discentes do Câmpus Campos do Jordão</v>
      </c>
      <c r="D9" s="17"/>
      <c r="E9" s="17"/>
      <c r="F9" s="17"/>
      <c r="G9" s="17"/>
      <c r="H9" s="17"/>
      <c r="I9" s="8">
        <f t="shared" si="0"/>
        <v>0</v>
      </c>
      <c r="J9" s="15">
        <f>VLOOKUP(B9,urnas!$C$6:$H$114,6)</f>
        <v>758</v>
      </c>
      <c r="M9" s="2"/>
      <c r="N9" s="2"/>
      <c r="O9" s="2"/>
      <c r="P9" s="2"/>
      <c r="Q9" s="2"/>
    </row>
    <row r="10" spans="1:17" ht="33.950000000000003" customHeight="1" thickBot="1" x14ac:dyDescent="0.3">
      <c r="B10" s="10" t="str">
        <f>VLOOKUP(3*$H$3,urnas!$B$6:$D$114,2)</f>
        <v>Urna 024</v>
      </c>
      <c r="C10" s="23" t="str">
        <f>VLOOKUP(3*$H$3,urnas!$B$6:$D$114,3)</f>
        <v>Técnicos Administrativos do Câmpus Campos do Jordão</v>
      </c>
      <c r="D10" s="17"/>
      <c r="E10" s="17"/>
      <c r="F10" s="17"/>
      <c r="G10" s="17"/>
      <c r="H10" s="17"/>
      <c r="I10" s="11">
        <f t="shared" si="0"/>
        <v>0</v>
      </c>
      <c r="J10" s="16">
        <f>VLOOKUP(B10,urnas!$C$6:$H$114,6)</f>
        <v>41</v>
      </c>
      <c r="M10" s="2"/>
      <c r="N10" s="2"/>
      <c r="O10" s="2"/>
      <c r="P10" s="2"/>
      <c r="Q10" s="2"/>
    </row>
    <row r="11" spans="1:17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I11" si="1">SUM(E8:E10)</f>
        <v>0</v>
      </c>
      <c r="F11" s="19">
        <f t="shared" si="1"/>
        <v>0</v>
      </c>
      <c r="G11" s="30">
        <f t="shared" si="1"/>
        <v>0</v>
      </c>
      <c r="H11" s="19">
        <f t="shared" si="1"/>
        <v>0</v>
      </c>
      <c r="I11" s="20">
        <f t="shared" si="1"/>
        <v>0</v>
      </c>
      <c r="J11" s="21"/>
    </row>
    <row r="15" spans="1:17" ht="21" x14ac:dyDescent="0.25">
      <c r="C15" s="3" t="s">
        <v>770</v>
      </c>
      <c r="I15" s="3" t="s">
        <v>856</v>
      </c>
    </row>
    <row r="16" spans="1:17" ht="15.75" thickBot="1" x14ac:dyDescent="0.3"/>
    <row r="17" spans="2:13" ht="24.95" customHeight="1" x14ac:dyDescent="0.25">
      <c r="B17" s="12"/>
      <c r="C17" s="48" t="s">
        <v>841</v>
      </c>
      <c r="D17" s="50" t="s">
        <v>840</v>
      </c>
      <c r="E17" s="51"/>
      <c r="F17" s="52"/>
      <c r="H17" s="21"/>
      <c r="I17" s="48" t="s">
        <v>840</v>
      </c>
      <c r="J17" s="53"/>
      <c r="K17" s="53"/>
      <c r="L17" s="53"/>
      <c r="M17" s="27" t="s">
        <v>848</v>
      </c>
    </row>
    <row r="18" spans="2:13" ht="51" customHeight="1" x14ac:dyDescent="0.25">
      <c r="B18" s="12"/>
      <c r="C18" s="49"/>
      <c r="D18" s="6" t="str">
        <f>VLOOKUP($H$3,campus!$A$2:$P$37,6)</f>
        <v>Luciano Wanderley Mano Sanches</v>
      </c>
      <c r="E18" s="6" t="str">
        <f>VLOOKUP($H$3,campus!$A$2:$P$37,7)</f>
        <v>Maria Madalena de Souza Santos</v>
      </c>
      <c r="F18" s="13" t="str">
        <f>VLOOKUP($H$3,campus!$A$2:$P$37,8)</f>
        <v>Walter Luiz Andrade de Oliveira</v>
      </c>
      <c r="H18" s="31" t="s">
        <v>852</v>
      </c>
      <c r="I18" s="58"/>
      <c r="J18" s="59"/>
      <c r="K18" s="59"/>
      <c r="L18" s="59"/>
      <c r="M18" s="28" t="str">
        <f>IF(COUNTA(D8:H10)=15,M5,"")</f>
        <v/>
      </c>
    </row>
    <row r="19" spans="2:13" ht="24.95" customHeight="1" x14ac:dyDescent="0.25">
      <c r="B19" s="12"/>
      <c r="C19" s="9" t="s">
        <v>842</v>
      </c>
      <c r="D19" s="32">
        <f>IF(ISBLANK(D8),0,100*(1/3*(D8/$J8)))</f>
        <v>0</v>
      </c>
      <c r="E19" s="32">
        <f t="shared" ref="E19:F19" si="2">IF(ISBLANK(E8),0,100*(1/3*(E8/$J8)))</f>
        <v>0</v>
      </c>
      <c r="F19" s="33">
        <f t="shared" si="2"/>
        <v>0</v>
      </c>
      <c r="H19" s="62" t="s">
        <v>853</v>
      </c>
      <c r="I19" s="58"/>
      <c r="J19" s="59"/>
      <c r="K19" s="59"/>
      <c r="L19" s="59"/>
      <c r="M19" s="63" t="str">
        <f>IF(COUNTA(D8:H10)=15,N5,"")</f>
        <v/>
      </c>
    </row>
    <row r="20" spans="2:13" ht="24.95" customHeight="1" x14ac:dyDescent="0.25">
      <c r="B20" s="12"/>
      <c r="C20" s="9" t="s">
        <v>843</v>
      </c>
      <c r="D20" s="32">
        <f t="shared" ref="D20:F21" si="3">IF(ISBLANK(D9),0,100*(1/3*(D9/$J9)))</f>
        <v>0</v>
      </c>
      <c r="E20" s="32">
        <f t="shared" si="3"/>
        <v>0</v>
      </c>
      <c r="F20" s="33">
        <f t="shared" si="3"/>
        <v>0</v>
      </c>
      <c r="H20" s="62"/>
      <c r="I20" s="58"/>
      <c r="J20" s="59"/>
      <c r="K20" s="59"/>
      <c r="L20" s="59"/>
      <c r="M20" s="63"/>
    </row>
    <row r="21" spans="2:13" ht="24.95" customHeight="1" x14ac:dyDescent="0.25">
      <c r="B21" s="12"/>
      <c r="C21" s="9" t="s">
        <v>51</v>
      </c>
      <c r="D21" s="32">
        <f t="shared" si="3"/>
        <v>0</v>
      </c>
      <c r="E21" s="32">
        <f t="shared" si="3"/>
        <v>0</v>
      </c>
      <c r="F21" s="33">
        <f t="shared" si="3"/>
        <v>0</v>
      </c>
      <c r="H21" s="62" t="s">
        <v>854</v>
      </c>
      <c r="I21" s="58"/>
      <c r="J21" s="59"/>
      <c r="K21" s="59"/>
      <c r="L21" s="59"/>
      <c r="M21" s="63" t="str">
        <f>IF(COUNTA(D8:H10)=15,O5,"")</f>
        <v/>
      </c>
    </row>
    <row r="22" spans="2:13" ht="16.5" thickBot="1" x14ac:dyDescent="0.3">
      <c r="C22" s="24" t="s">
        <v>848</v>
      </c>
      <c r="D22" s="25">
        <f>SUM(D19:D21)</f>
        <v>0</v>
      </c>
      <c r="E22" s="25">
        <f>SUM(E19:E21)</f>
        <v>0</v>
      </c>
      <c r="F22" s="26">
        <f>SUM(F19:F21)</f>
        <v>0</v>
      </c>
      <c r="H22" s="62"/>
      <c r="I22" s="60"/>
      <c r="J22" s="61"/>
      <c r="K22" s="61"/>
      <c r="L22" s="61"/>
      <c r="M22" s="64"/>
    </row>
    <row r="23" spans="2:13" x14ac:dyDescent="0.25">
      <c r="D23" s="2" t="str">
        <f>D18</f>
        <v>Luciano Wanderley Mano Sanches</v>
      </c>
      <c r="E23" s="2" t="str">
        <f>E18</f>
        <v>Maria Madalena de Souza Santos</v>
      </c>
      <c r="F23" s="2" t="str">
        <f>F18</f>
        <v>Walter Luiz Andrade de Oliveira</v>
      </c>
    </row>
    <row r="24" spans="2:13" ht="23.25" x14ac:dyDescent="0.25">
      <c r="H24" s="5" t="str">
        <f>IF(COUNTA(D8:H10)=15,IF(M18&gt;(M19+M21), "Eleição encerrada no primeiro turno.", "Haverá segundo turno entre os dois primeiro colocados"),"")</f>
        <v/>
      </c>
    </row>
    <row r="25" spans="2:13" ht="23.25" x14ac:dyDescent="0.25">
      <c r="H25" s="5" t="str">
        <f>IF(COUNTA(D9:H11)=15,"Em caso de empate utilizar os critérios elencados no código eleitoral","")</f>
        <v/>
      </c>
    </row>
    <row r="28" spans="2:13" ht="24.95" customHeight="1" x14ac:dyDescent="0.25"/>
    <row r="29" spans="2:13" ht="33.950000000000003" customHeight="1" x14ac:dyDescent="0.25"/>
    <row r="30" spans="2:13" ht="33.950000000000003" customHeight="1" x14ac:dyDescent="0.25"/>
    <row r="31" spans="2:13" ht="33.950000000000003" customHeight="1" x14ac:dyDescent="0.25"/>
  </sheetData>
  <sheetProtection sheet="1" objects="1" scenarios="1" selectLockedCells="1"/>
  <mergeCells count="14">
    <mergeCell ref="H19:H20"/>
    <mergeCell ref="I19:L20"/>
    <mergeCell ref="M19:M20"/>
    <mergeCell ref="H21:H22"/>
    <mergeCell ref="I21:L22"/>
    <mergeCell ref="M21:M22"/>
    <mergeCell ref="B6:B7"/>
    <mergeCell ref="C6:C7"/>
    <mergeCell ref="D6:I6"/>
    <mergeCell ref="J6:J7"/>
    <mergeCell ref="C17:C18"/>
    <mergeCell ref="D17:F17"/>
    <mergeCell ref="I17:L17"/>
    <mergeCell ref="I18:L18"/>
  </mergeCells>
  <pageMargins left="0.511811024" right="0.511811024" top="0.78740157499999996" bottom="0.78740157499999996" header="0.31496062000000002" footer="0.3149606200000000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Campinas</v>
      </c>
      <c r="H3" s="34">
        <v>7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Eberval Oliveira Castro</v>
      </c>
      <c r="E7" s="6" t="str">
        <f>VLOOKUP($H$3,campus!$A$2:$P$37,7)</f>
        <v>Éder José Costa Sacconi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019</v>
      </c>
      <c r="C8" s="22" t="str">
        <f>VLOOKUP(3*$H$3-2,urnas!$B$6:$D$114,3)</f>
        <v>Docentes do Câmpus Campinas</v>
      </c>
      <c r="D8" s="17"/>
      <c r="E8" s="17"/>
      <c r="F8" s="17"/>
      <c r="G8" s="17"/>
      <c r="H8" s="8">
        <f>SUM(D8:G8)</f>
        <v>0</v>
      </c>
      <c r="I8" s="15">
        <f>VLOOKUP(B8,urnas!$C$6:$H$114,6)</f>
        <v>68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020</v>
      </c>
      <c r="C9" s="22" t="str">
        <f>VLOOKUP(3*$H$3-1,urnas!$B$6:$D$114,3)</f>
        <v>Discentes do Câmpus Campinas</v>
      </c>
      <c r="D9" s="17"/>
      <c r="E9" s="17"/>
      <c r="F9" s="17"/>
      <c r="G9" s="17"/>
      <c r="H9" s="8">
        <f>SUM(D9:G9)</f>
        <v>0</v>
      </c>
      <c r="I9" s="15">
        <f>VLOOKUP(B9,urnas!$C$6:$H$114,6)</f>
        <v>740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021</v>
      </c>
      <c r="C10" s="23" t="str">
        <f>VLOOKUP(3*$H$3,urnas!$B$6:$D$114,3)</f>
        <v>Técnicos Administrativos do Câmpus Campinas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40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Eberval Oliveira Castro</v>
      </c>
      <c r="E18" s="6" t="str">
        <f>VLOOKUP($H$3,campus!$A$2:$P$37,7)</f>
        <v>Éder José Costa Sacconi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Eberval Oliveira Castro</v>
      </c>
      <c r="E23" s="2" t="str">
        <f>E18</f>
        <v>Éder José Costa Sacconi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Bragança Paulista</v>
      </c>
      <c r="H3" s="34">
        <v>6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João Roberto Moro</v>
      </c>
      <c r="E7" s="6" t="str">
        <f>VLOOKUP($H$3,campus!$A$2:$P$37,7)</f>
        <v>Orlando Leonardo Berenguel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016</v>
      </c>
      <c r="C8" s="22" t="str">
        <f>VLOOKUP(3*$H$3-2,urnas!$B$6:$D$114,3)</f>
        <v>Docentes do Câmpus Bragança Paulista</v>
      </c>
      <c r="D8" s="17"/>
      <c r="E8" s="17"/>
      <c r="F8" s="17"/>
      <c r="G8" s="17"/>
      <c r="H8" s="8">
        <f>SUM(D8:G8)</f>
        <v>0</v>
      </c>
      <c r="I8" s="15">
        <f>VLOOKUP(B8,urnas!$C$6:$H$114,6)</f>
        <v>71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017</v>
      </c>
      <c r="C9" s="22" t="str">
        <f>VLOOKUP(3*$H$3-1,urnas!$B$6:$D$114,3)</f>
        <v>Discentes do Câmpus Bragança Paulista</v>
      </c>
      <c r="D9" s="17"/>
      <c r="E9" s="17"/>
      <c r="F9" s="17"/>
      <c r="G9" s="17"/>
      <c r="H9" s="8">
        <f>SUM(D9:G9)</f>
        <v>0</v>
      </c>
      <c r="I9" s="15">
        <f>VLOOKUP(B9,urnas!$C$6:$H$114,6)</f>
        <v>1211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018</v>
      </c>
      <c r="C10" s="23" t="str">
        <f>VLOOKUP(3*$H$3,urnas!$B$6:$D$114,3)</f>
        <v>Técnicos Administrativos do Câmpus Bragança Paulista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43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João Roberto Moro</v>
      </c>
      <c r="E18" s="6" t="str">
        <f>VLOOKUP($H$3,campus!$A$2:$P$37,7)</f>
        <v>Orlando Leonardo Berenguel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João Roberto Moro</v>
      </c>
      <c r="E23" s="2" t="str">
        <f>E18</f>
        <v>Orlando Leonardo Berenguel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Boituva</v>
      </c>
      <c r="H3" s="34">
        <v>5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Felipe Ferreira de Almeida</v>
      </c>
      <c r="E7" s="6" t="str">
        <f>VLOOKUP($H$3,campus!$A$2:$P$37,7)</f>
        <v>Lívia Pereira de Paula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013</v>
      </c>
      <c r="C8" s="22" t="str">
        <f>VLOOKUP(3*$H$3-2,urnas!$B$6:$D$114,3)</f>
        <v>Docentes do Câmpus Boituva</v>
      </c>
      <c r="D8" s="17"/>
      <c r="E8" s="17"/>
      <c r="F8" s="17"/>
      <c r="G8" s="17"/>
      <c r="H8" s="8">
        <f>SUM(D8:G8)</f>
        <v>0</v>
      </c>
      <c r="I8" s="15">
        <f>VLOOKUP(B8,urnas!$C$6:$H$114,6)</f>
        <v>63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014</v>
      </c>
      <c r="C9" s="22" t="str">
        <f>VLOOKUP(3*$H$3-1,urnas!$B$6:$D$114,3)</f>
        <v>Discentes do Câmpus Boituva</v>
      </c>
      <c r="D9" s="17"/>
      <c r="E9" s="17"/>
      <c r="F9" s="17"/>
      <c r="G9" s="17"/>
      <c r="H9" s="8">
        <f>SUM(D9:G9)</f>
        <v>0</v>
      </c>
      <c r="I9" s="15">
        <f>VLOOKUP(B9,urnas!$C$6:$H$114,6)</f>
        <v>1214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015</v>
      </c>
      <c r="C10" s="23" t="str">
        <f>VLOOKUP(3*$H$3,urnas!$B$6:$D$114,3)</f>
        <v>Técnicos Administrativos do Câmpus Boituva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45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Felipe Ferreira de Almeida</v>
      </c>
      <c r="E18" s="6" t="str">
        <f>VLOOKUP($H$3,campus!$A$2:$P$37,7)</f>
        <v>Lívia Pereira de Paula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Felipe Ferreira de Almeida</v>
      </c>
      <c r="E23" s="2" t="str">
        <f>E18</f>
        <v>Lívia Pereira de Paula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O31"/>
  <sheetViews>
    <sheetView workbookViewId="0">
      <selection activeCell="E9" sqref="E9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Birigui</v>
      </c>
      <c r="H3" s="34">
        <v>4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Deidimar Alves Brissi</v>
      </c>
      <c r="E7" s="6" t="str">
        <f>VLOOKUP($H$3,campus!$A$2:$P$37,7)</f>
        <v>Edmar César da Silva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010</v>
      </c>
      <c r="C8" s="22" t="str">
        <f>VLOOKUP(3*$H$3-2,urnas!$B$6:$D$114,3)</f>
        <v>Docentes do Câmpus Birigui</v>
      </c>
      <c r="D8" s="17"/>
      <c r="E8" s="17"/>
      <c r="F8" s="17"/>
      <c r="G8" s="17"/>
      <c r="H8" s="8">
        <f>SUM(D8:G8)</f>
        <v>0</v>
      </c>
      <c r="I8" s="15">
        <f>VLOOKUP(B8,urnas!$C$6:$H$114,6)</f>
        <v>70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011</v>
      </c>
      <c r="C9" s="22" t="str">
        <f>VLOOKUP(3*$H$3-1,urnas!$B$6:$D$114,3)</f>
        <v>Discentes do Câmpus Birigui</v>
      </c>
      <c r="D9" s="17"/>
      <c r="E9" s="17"/>
      <c r="F9" s="17"/>
      <c r="G9" s="17"/>
      <c r="H9" s="8">
        <f>SUM(D9:G9)</f>
        <v>0</v>
      </c>
      <c r="I9" s="15">
        <f>VLOOKUP(B9,urnas!$C$6:$H$114,6)</f>
        <v>1039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012</v>
      </c>
      <c r="C10" s="23" t="str">
        <f>VLOOKUP(3*$H$3,urnas!$B$6:$D$114,3)</f>
        <v>Técnicos Administrativos do Câmpus Birigui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45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Deidimar Alves Brissi</v>
      </c>
      <c r="E18" s="6" t="str">
        <f>VLOOKUP($H$3,campus!$A$2:$P$37,7)</f>
        <v>Edmar César da Silva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Deidimar Alves Brissi</v>
      </c>
      <c r="E23" s="2" t="str">
        <f>E18</f>
        <v>Edmar César da Silva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M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",VLOOKUP($H$3,campus!$A$2:$C$38,3))</f>
        <v>Diretor Geral - Câmpus Barretos</v>
      </c>
      <c r="H3" s="34">
        <v>3</v>
      </c>
    </row>
    <row r="5" spans="1:13" ht="15.75" thickBot="1" x14ac:dyDescent="0.3">
      <c r="K5" s="2">
        <f>LARGE(D22:D22,1)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Juliana de Carvalho Pimenta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007</v>
      </c>
      <c r="C8" s="22" t="str">
        <f>VLOOKUP(3*$H$3-2,urnas!$B$6:$D$114,3)</f>
        <v>Docentes do Câmpus Barretos</v>
      </c>
      <c r="D8" s="17"/>
      <c r="E8" s="17"/>
      <c r="F8" s="17"/>
      <c r="G8" s="8">
        <f>SUM(D8:F8)</f>
        <v>0</v>
      </c>
      <c r="H8" s="15">
        <f>VLOOKUP(B8,urnas!$C$6:$H$114,6)</f>
        <v>78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008</v>
      </c>
      <c r="C9" s="22" t="str">
        <f>VLOOKUP(3*$H$3-1,urnas!$B$6:$D$114,3)</f>
        <v>Discentes do Câmpus Barretos</v>
      </c>
      <c r="D9" s="17"/>
      <c r="E9" s="17"/>
      <c r="F9" s="17"/>
      <c r="G9" s="8">
        <f>SUM(D9:F9)</f>
        <v>0</v>
      </c>
      <c r="H9" s="15">
        <f>VLOOKUP(B9,urnas!$C$6:$H$114,6)</f>
        <v>1335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009</v>
      </c>
      <c r="C10" s="23" t="str">
        <f>VLOOKUP(3*$H$3,urnas!$B$6:$D$114,3)</f>
        <v>Técnicos Administrativos do Câmpus Barretos</v>
      </c>
      <c r="D10" s="17"/>
      <c r="E10" s="17"/>
      <c r="F10" s="17"/>
      <c r="G10" s="11">
        <f>SUM(D10:F10)</f>
        <v>0</v>
      </c>
      <c r="H10" s="16">
        <f>VLOOKUP(B10,urnas!$C$6:$H$114,6)</f>
        <v>57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Juliana de Carvalho Pimenta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842</v>
      </c>
      <c r="D19" s="32">
        <f>IF(ISBLANK(D8),0,100*(1/3*(D8/$H8)))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IF(ISBLANK(D9),0,100*(1/3*(D9/$H9)))</f>
        <v>0</v>
      </c>
      <c r="F20" s="5" t="str">
        <f>IF(COUNTA(D8:F10)=9,"Eleição encerrada no primeiro turno.","")</f>
        <v/>
      </c>
    </row>
    <row r="21" spans="2:11" ht="24.95" customHeight="1" x14ac:dyDescent="0.25">
      <c r="B21" s="12"/>
      <c r="C21" s="9" t="s">
        <v>51</v>
      </c>
      <c r="D21" s="32">
        <f>IF(ISBLANK(D10),0,100*(1/3*(D10/$H10)))</f>
        <v>0</v>
      </c>
      <c r="F21" s="5"/>
    </row>
    <row r="22" spans="2:11" ht="16.5" thickBot="1" x14ac:dyDescent="0.3">
      <c r="C22" s="24" t="s">
        <v>848</v>
      </c>
      <c r="D22" s="25">
        <f>SUM(D19:D21)</f>
        <v>0</v>
      </c>
    </row>
    <row r="23" spans="2:11" x14ac:dyDescent="0.25">
      <c r="D23" s="2" t="str">
        <f>D18</f>
        <v>Juliana de Carvalho Pimenta</v>
      </c>
    </row>
    <row r="28" spans="2:11" ht="24.95" customHeight="1" x14ac:dyDescent="0.25"/>
    <row r="29" spans="2:11" ht="33.950000000000003" customHeight="1" x14ac:dyDescent="0.25"/>
    <row r="30" spans="2:11" ht="33.950000000000003" customHeight="1" x14ac:dyDescent="0.25"/>
    <row r="31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M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",VLOOKUP($H$3,campus!$A$2:$C$38,3))</f>
        <v>Diretor Geral - Câmpus Avaré</v>
      </c>
      <c r="H3" s="34">
        <v>2</v>
      </c>
    </row>
    <row r="5" spans="1:13" ht="15.75" thickBot="1" x14ac:dyDescent="0.3">
      <c r="K5" s="2">
        <f>LARGE(D22:D22,1)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Sebastião Francelino da Cruz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004</v>
      </c>
      <c r="C8" s="22" t="str">
        <f>VLOOKUP(3*$H$3-2,urnas!$B$6:$D$114,3)</f>
        <v>Docentes do Câmpus Avaré</v>
      </c>
      <c r="D8" s="17"/>
      <c r="E8" s="17"/>
      <c r="F8" s="17"/>
      <c r="G8" s="8">
        <f>SUM(D8:F8)</f>
        <v>0</v>
      </c>
      <c r="H8" s="15">
        <f>VLOOKUP(B8,urnas!$C$6:$H$114,6)</f>
        <v>68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005</v>
      </c>
      <c r="C9" s="22" t="str">
        <f>VLOOKUP(3*$H$3-1,urnas!$B$6:$D$114,3)</f>
        <v>Discentes do Câmpus Avaré</v>
      </c>
      <c r="D9" s="17"/>
      <c r="E9" s="17"/>
      <c r="F9" s="17"/>
      <c r="G9" s="8">
        <f>SUM(D9:F9)</f>
        <v>0</v>
      </c>
      <c r="H9" s="15">
        <f>VLOOKUP(B9,urnas!$C$6:$H$114,6)</f>
        <v>1083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006</v>
      </c>
      <c r="C10" s="23" t="str">
        <f>VLOOKUP(3*$H$3,urnas!$B$6:$D$114,3)</f>
        <v>Técnicos Administrativos do Câmpus Avaré</v>
      </c>
      <c r="D10" s="17"/>
      <c r="E10" s="17"/>
      <c r="F10" s="17"/>
      <c r="G10" s="11">
        <f>SUM(D10:F10)</f>
        <v>0</v>
      </c>
      <c r="H10" s="16">
        <f>VLOOKUP(B10,urnas!$C$6:$H$114,6)</f>
        <v>46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Sebastião Francelino da Cruz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842</v>
      </c>
      <c r="D19" s="32">
        <f>IF(ISBLANK(D8),0,100*(1/3*(D8/$H8)))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IF(ISBLANK(D9),0,100*(1/3*(D9/$H9)))</f>
        <v>0</v>
      </c>
      <c r="F20" s="5" t="str">
        <f>IF(COUNTA(D8:F10)=9,"Eleição encerrada no primeiro turno.","")</f>
        <v/>
      </c>
    </row>
    <row r="21" spans="2:11" ht="24.95" customHeight="1" x14ac:dyDescent="0.25">
      <c r="B21" s="12"/>
      <c r="C21" s="9" t="s">
        <v>51</v>
      </c>
      <c r="D21" s="32">
        <f>IF(ISBLANK(D10),0,100*(1/3*(D10/$H10)))</f>
        <v>0</v>
      </c>
      <c r="F21" s="5"/>
    </row>
    <row r="22" spans="2:11" ht="16.5" thickBot="1" x14ac:dyDescent="0.3">
      <c r="C22" s="24" t="s">
        <v>848</v>
      </c>
      <c r="D22" s="25">
        <f>SUM(D19:D21)</f>
        <v>0</v>
      </c>
    </row>
    <row r="23" spans="2:11" x14ac:dyDescent="0.25">
      <c r="D23" s="2" t="str">
        <f>D18</f>
        <v>Sebastião Francelino da Cruz</v>
      </c>
    </row>
    <row r="28" spans="2:11" ht="24.95" customHeight="1" x14ac:dyDescent="0.25"/>
    <row r="29" spans="2:11" ht="33.950000000000003" customHeight="1" x14ac:dyDescent="0.25"/>
    <row r="30" spans="2:11" ht="33.950000000000003" customHeight="1" x14ac:dyDescent="0.25"/>
    <row r="31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Q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6" width="25.7109375" style="1" customWidth="1"/>
    <col min="7" max="9" width="10.7109375" style="1" customWidth="1"/>
    <col min="10" max="10" width="18.5703125" style="1" bestFit="1" customWidth="1"/>
    <col min="11" max="16384" width="9.140625" style="1"/>
  </cols>
  <sheetData>
    <row r="1" spans="1:17" x14ac:dyDescent="0.25">
      <c r="A1" s="2">
        <v>1</v>
      </c>
    </row>
    <row r="2" spans="1:17" ht="28.5" x14ac:dyDescent="0.25">
      <c r="B2" s="4" t="s">
        <v>766</v>
      </c>
    </row>
    <row r="3" spans="1:17" ht="23.25" x14ac:dyDescent="0.25">
      <c r="B3" s="5" t="str">
        <f>_xlfn.CONCAT("Diretor Geral - Câmpus ",VLOOKUP($H$3,campus!$A$2:$C$38,3))</f>
        <v>Diretor Geral - Câmpus Araraquara</v>
      </c>
      <c r="H3" s="34">
        <v>1</v>
      </c>
    </row>
    <row r="5" spans="1:17" ht="15.75" thickBot="1" x14ac:dyDescent="0.3">
      <c r="M5" s="2">
        <f>LARGE(D22:F22,1)</f>
        <v>0</v>
      </c>
      <c r="N5" s="2">
        <f>LARGE(D22:F22,2)</f>
        <v>0</v>
      </c>
      <c r="O5" s="2">
        <f>LARGE(D22:F22,3)</f>
        <v>0</v>
      </c>
      <c r="P5" s="2"/>
      <c r="Q5" s="2"/>
    </row>
    <row r="6" spans="1:17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1"/>
      <c r="I6" s="55"/>
      <c r="J6" s="56" t="s">
        <v>839</v>
      </c>
      <c r="M6" s="2" t="s">
        <v>849</v>
      </c>
      <c r="N6" s="2" t="s">
        <v>850</v>
      </c>
      <c r="O6" s="2" t="s">
        <v>851</v>
      </c>
      <c r="P6" s="2"/>
      <c r="Q6" s="2"/>
    </row>
    <row r="7" spans="1:17" ht="51" customHeight="1" x14ac:dyDescent="0.25">
      <c r="B7" s="49"/>
      <c r="C7" s="54"/>
      <c r="D7" s="6" t="str">
        <f>VLOOKUP($H$3,campus!$A$2:$P$37,6)</f>
        <v>Ednilson Geraldo Rossi</v>
      </c>
      <c r="E7" s="6" t="str">
        <f>VLOOKUP($H$3,campus!$A$2:$P$37,7)</f>
        <v>Fábio José Justo dos Santos</v>
      </c>
      <c r="F7" s="6" t="str">
        <f>VLOOKUP($H$3,campus!$A$2:$P$37,8)</f>
        <v>Josilda Maria Belther</v>
      </c>
      <c r="G7" s="7" t="s">
        <v>768</v>
      </c>
      <c r="H7" s="7" t="s">
        <v>769</v>
      </c>
      <c r="I7" s="6" t="s">
        <v>844</v>
      </c>
      <c r="J7" s="57"/>
      <c r="M7" s="2"/>
      <c r="N7" s="2"/>
      <c r="O7" s="2"/>
      <c r="P7" s="2"/>
      <c r="Q7" s="2"/>
    </row>
    <row r="8" spans="1:17" ht="33.950000000000003" customHeight="1" x14ac:dyDescent="0.25">
      <c r="B8" s="9" t="str">
        <f>VLOOKUP(3*$H$3-2,urnas!$B$6:$D$114,2)</f>
        <v>Urna 001</v>
      </c>
      <c r="C8" s="22" t="str">
        <f>VLOOKUP(3*$H$3-2,urnas!$B$6:$D$114,3)</f>
        <v>Docentes do Câmpus Araraquara</v>
      </c>
      <c r="D8" s="17"/>
      <c r="E8" s="17"/>
      <c r="F8" s="17"/>
      <c r="G8" s="17"/>
      <c r="H8" s="17"/>
      <c r="I8" s="8">
        <f t="shared" ref="I8:I10" si="0">SUM(D8:H8)</f>
        <v>0</v>
      </c>
      <c r="J8" s="15">
        <f>VLOOKUP(B8,urnas!$C$6:$H$114,6)</f>
        <v>70</v>
      </c>
      <c r="M8" s="2"/>
      <c r="N8" s="2"/>
      <c r="O8" s="2"/>
      <c r="P8" s="2"/>
      <c r="Q8" s="2"/>
    </row>
    <row r="9" spans="1:17" ht="33.950000000000003" customHeight="1" x14ac:dyDescent="0.25">
      <c r="B9" s="9" t="str">
        <f>VLOOKUP(3*$H$3-1,urnas!$B$6:$D$114,2)</f>
        <v>Urna 002</v>
      </c>
      <c r="C9" s="22" t="str">
        <f>VLOOKUP(3*$H$3-1,urnas!$B$6:$D$114,3)</f>
        <v>Discentes do Câmpus Araraquara</v>
      </c>
      <c r="D9" s="17"/>
      <c r="E9" s="17"/>
      <c r="F9" s="17"/>
      <c r="G9" s="17"/>
      <c r="H9" s="17"/>
      <c r="I9" s="8">
        <f t="shared" si="0"/>
        <v>0</v>
      </c>
      <c r="J9" s="15">
        <f>VLOOKUP(B9,urnas!$C$6:$H$114,6)</f>
        <v>954</v>
      </c>
      <c r="M9" s="2"/>
      <c r="N9" s="2"/>
      <c r="O9" s="2"/>
      <c r="P9" s="2"/>
      <c r="Q9" s="2"/>
    </row>
    <row r="10" spans="1:17" ht="33.950000000000003" customHeight="1" thickBot="1" x14ac:dyDescent="0.3">
      <c r="B10" s="10" t="str">
        <f>VLOOKUP(3*$H$3,urnas!$B$6:$D$114,2)</f>
        <v>Urna 003</v>
      </c>
      <c r="C10" s="23" t="str">
        <f>VLOOKUP(3*$H$3,urnas!$B$6:$D$114,3)</f>
        <v>Técnicos Administrativos do Câmpus Araraquara</v>
      </c>
      <c r="D10" s="17"/>
      <c r="E10" s="17"/>
      <c r="F10" s="17"/>
      <c r="G10" s="17"/>
      <c r="H10" s="17"/>
      <c r="I10" s="11">
        <f t="shared" si="0"/>
        <v>0</v>
      </c>
      <c r="J10" s="16">
        <f>VLOOKUP(B10,urnas!$C$6:$H$114,6)</f>
        <v>44</v>
      </c>
      <c r="M10" s="2"/>
      <c r="N10" s="2"/>
      <c r="O10" s="2"/>
      <c r="P10" s="2"/>
      <c r="Q10" s="2"/>
    </row>
    <row r="11" spans="1:17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I11" si="1">SUM(E8:E10)</f>
        <v>0</v>
      </c>
      <c r="F11" s="19">
        <f t="shared" si="1"/>
        <v>0</v>
      </c>
      <c r="G11" s="30">
        <f t="shared" si="1"/>
        <v>0</v>
      </c>
      <c r="H11" s="19">
        <f t="shared" si="1"/>
        <v>0</v>
      </c>
      <c r="I11" s="20">
        <f t="shared" si="1"/>
        <v>0</v>
      </c>
      <c r="J11" s="21"/>
    </row>
    <row r="15" spans="1:17" ht="21" x14ac:dyDescent="0.25">
      <c r="C15" s="3" t="s">
        <v>770</v>
      </c>
      <c r="I15" s="3" t="s">
        <v>856</v>
      </c>
    </row>
    <row r="16" spans="1:17" ht="15.75" thickBot="1" x14ac:dyDescent="0.3"/>
    <row r="17" spans="2:13" ht="24.95" customHeight="1" x14ac:dyDescent="0.25">
      <c r="B17" s="12"/>
      <c r="C17" s="48" t="s">
        <v>841</v>
      </c>
      <c r="D17" s="50" t="s">
        <v>840</v>
      </c>
      <c r="E17" s="51"/>
      <c r="F17" s="52"/>
      <c r="H17" s="21"/>
      <c r="I17" s="48" t="s">
        <v>840</v>
      </c>
      <c r="J17" s="53"/>
      <c r="K17" s="53"/>
      <c r="L17" s="53"/>
      <c r="M17" s="27" t="s">
        <v>848</v>
      </c>
    </row>
    <row r="18" spans="2:13" ht="51" customHeight="1" x14ac:dyDescent="0.25">
      <c r="B18" s="12"/>
      <c r="C18" s="49"/>
      <c r="D18" s="6" t="str">
        <f>VLOOKUP($H$3,campus!$A$2:$P$37,6)</f>
        <v>Ednilson Geraldo Rossi</v>
      </c>
      <c r="E18" s="6" t="str">
        <f>VLOOKUP($H$3,campus!$A$2:$P$37,7)</f>
        <v>Fábio José Justo dos Santos</v>
      </c>
      <c r="F18" s="13" t="str">
        <f>VLOOKUP($H$3,campus!$A$2:$P$37,8)</f>
        <v>Josilda Maria Belther</v>
      </c>
      <c r="H18" s="31" t="s">
        <v>852</v>
      </c>
      <c r="I18" s="58"/>
      <c r="J18" s="59"/>
      <c r="K18" s="59"/>
      <c r="L18" s="59"/>
      <c r="M18" s="28" t="str">
        <f>IF(COUNTA(D8:H10)=15,M5,"")</f>
        <v/>
      </c>
    </row>
    <row r="19" spans="2:13" ht="24.95" customHeight="1" x14ac:dyDescent="0.25">
      <c r="B19" s="12"/>
      <c r="C19" s="9" t="s">
        <v>842</v>
      </c>
      <c r="D19" s="32">
        <f>IF(ISBLANK(D8),0,100*(1/3*(D8/$J8)))</f>
        <v>0</v>
      </c>
      <c r="E19" s="32">
        <f t="shared" ref="E19:F19" si="2">IF(ISBLANK(E8),0,100*(1/3*(E8/$J8)))</f>
        <v>0</v>
      </c>
      <c r="F19" s="33">
        <f t="shared" si="2"/>
        <v>0</v>
      </c>
      <c r="H19" s="62" t="s">
        <v>853</v>
      </c>
      <c r="I19" s="58"/>
      <c r="J19" s="59"/>
      <c r="K19" s="59"/>
      <c r="L19" s="59"/>
      <c r="M19" s="63" t="str">
        <f>IF(COUNTA(D8:H10)=15,N5,"")</f>
        <v/>
      </c>
    </row>
    <row r="20" spans="2:13" ht="24.95" customHeight="1" x14ac:dyDescent="0.25">
      <c r="B20" s="12"/>
      <c r="C20" s="9" t="s">
        <v>843</v>
      </c>
      <c r="D20" s="32">
        <f t="shared" ref="D20:F21" si="3">IF(ISBLANK(D9),0,100*(1/3*(D9/$J9)))</f>
        <v>0</v>
      </c>
      <c r="E20" s="32">
        <f t="shared" si="3"/>
        <v>0</v>
      </c>
      <c r="F20" s="33">
        <f t="shared" si="3"/>
        <v>0</v>
      </c>
      <c r="H20" s="62"/>
      <c r="I20" s="58"/>
      <c r="J20" s="59"/>
      <c r="K20" s="59"/>
      <c r="L20" s="59"/>
      <c r="M20" s="63"/>
    </row>
    <row r="21" spans="2:13" ht="24.95" customHeight="1" x14ac:dyDescent="0.25">
      <c r="B21" s="12"/>
      <c r="C21" s="9" t="s">
        <v>51</v>
      </c>
      <c r="D21" s="32">
        <f t="shared" si="3"/>
        <v>0</v>
      </c>
      <c r="E21" s="32">
        <f t="shared" si="3"/>
        <v>0</v>
      </c>
      <c r="F21" s="33">
        <f t="shared" si="3"/>
        <v>0</v>
      </c>
      <c r="H21" s="62" t="s">
        <v>854</v>
      </c>
      <c r="I21" s="58"/>
      <c r="J21" s="59"/>
      <c r="K21" s="59"/>
      <c r="L21" s="59"/>
      <c r="M21" s="63" t="str">
        <f>IF(COUNTA(D8:H10)=15,O5,"")</f>
        <v/>
      </c>
    </row>
    <row r="22" spans="2:13" ht="16.5" thickBot="1" x14ac:dyDescent="0.3">
      <c r="C22" s="24" t="s">
        <v>848</v>
      </c>
      <c r="D22" s="25">
        <f>SUM(D19:D21)</f>
        <v>0</v>
      </c>
      <c r="E22" s="25">
        <f>SUM(E19:E21)</f>
        <v>0</v>
      </c>
      <c r="F22" s="26">
        <f>SUM(F19:F21)</f>
        <v>0</v>
      </c>
      <c r="H22" s="62"/>
      <c r="I22" s="60"/>
      <c r="J22" s="61"/>
      <c r="K22" s="61"/>
      <c r="L22" s="61"/>
      <c r="M22" s="64"/>
    </row>
    <row r="23" spans="2:13" x14ac:dyDescent="0.25">
      <c r="D23" s="2" t="str">
        <f>D18</f>
        <v>Ednilson Geraldo Rossi</v>
      </c>
      <c r="E23" s="2" t="str">
        <f>E18</f>
        <v>Fábio José Justo dos Santos</v>
      </c>
      <c r="F23" s="2" t="str">
        <f>F18</f>
        <v>Josilda Maria Belther</v>
      </c>
    </row>
    <row r="24" spans="2:13" ht="23.25" x14ac:dyDescent="0.25">
      <c r="H24" s="5" t="str">
        <f>IF(COUNTA(D8:H10)=15,IF(M18&gt;(M19+M21), "Eleição encerrada no primeiro turno.", "Haverá segundo turno entre os dois primeiro colocados"),"")</f>
        <v/>
      </c>
    </row>
    <row r="25" spans="2:13" ht="23.25" x14ac:dyDescent="0.25">
      <c r="H25" s="5" t="str">
        <f>IF(COUNTA(D9:H11)=15,"Em caso de empate utilizar os critérios elencados no código eleitoral","")</f>
        <v/>
      </c>
    </row>
    <row r="28" spans="2:13" ht="24.95" customHeight="1" x14ac:dyDescent="0.25"/>
    <row r="29" spans="2:13" ht="33.950000000000003" customHeight="1" x14ac:dyDescent="0.25"/>
    <row r="30" spans="2:13" ht="33.950000000000003" customHeight="1" x14ac:dyDescent="0.25"/>
    <row r="31" spans="2:13" ht="33.950000000000003" customHeight="1" x14ac:dyDescent="0.25"/>
  </sheetData>
  <sheetProtection sheet="1" objects="1" scenarios="1" selectLockedCells="1"/>
  <mergeCells count="14">
    <mergeCell ref="H19:H20"/>
    <mergeCell ref="I19:L20"/>
    <mergeCell ref="M19:M20"/>
    <mergeCell ref="H21:H22"/>
    <mergeCell ref="I21:L22"/>
    <mergeCell ref="M21:M22"/>
    <mergeCell ref="B6:B7"/>
    <mergeCell ref="C6:C7"/>
    <mergeCell ref="D6:I6"/>
    <mergeCell ref="J6:J7"/>
    <mergeCell ref="C17:C18"/>
    <mergeCell ref="D17:F17"/>
    <mergeCell ref="I17:L17"/>
    <mergeCell ref="I18:L1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5">
    <tabColor theme="0" tint="-0.499984740745262"/>
  </sheetPr>
  <dimension ref="A1:M30"/>
  <sheetViews>
    <sheetView workbookViewId="0">
      <selection activeCell="E8" sqref="E8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Avançado ",VLOOKUP($H$3,campus!$A$2:$C$38,3))</f>
        <v>Diretor Geral - Câmpus Avançado Tupã</v>
      </c>
      <c r="H3" s="34">
        <v>36</v>
      </c>
    </row>
    <row r="5" spans="1:13" ht="15.75" thickBot="1" x14ac:dyDescent="0.3">
      <c r="K5" s="2">
        <f>LARGE(D21:D21,1)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Marcos Roberto Leite da Silva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106</v>
      </c>
      <c r="C8" s="22" t="str">
        <f>VLOOKUP(3*$H$3-2,urnas!$B$6:$D$114,3)</f>
        <v>Docentes do Câmpus Avançado Tupã</v>
      </c>
      <c r="D8" s="17"/>
      <c r="E8" s="17"/>
      <c r="F8" s="17"/>
      <c r="G8" s="8">
        <f>SUM(D8:F8)</f>
        <v>0</v>
      </c>
      <c r="H8" s="15">
        <f>VLOOKUP(B8,urnas!$C$6:$H$114,6)</f>
        <v>22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107</v>
      </c>
      <c r="C9" s="22" t="str">
        <f>VLOOKUP(3*$H$3-1,urnas!$B$6:$D$114,3)</f>
        <v>Discentes do Câmpus Avançado Tupã</v>
      </c>
      <c r="D9" s="17"/>
      <c r="E9" s="17"/>
      <c r="F9" s="17"/>
      <c r="G9" s="8">
        <f>SUM(D9:F9)</f>
        <v>0</v>
      </c>
      <c r="H9" s="15">
        <f>VLOOKUP(B9,urnas!$C$6:$H$114,6)</f>
        <v>225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108</v>
      </c>
      <c r="C10" s="23" t="str">
        <f>VLOOKUP(3*$H$3,urnas!$B$6:$D$114,3)</f>
        <v>Técnicos Administrativos do Câmpus Avançado Tupã</v>
      </c>
      <c r="D10" s="17"/>
      <c r="E10" s="17"/>
      <c r="F10" s="17"/>
      <c r="G10" s="11">
        <f>SUM(D10:F10)</f>
        <v>0</v>
      </c>
      <c r="H10" s="16">
        <f>VLOOKUP(B10,urnas!$C$6:$H$114,6)</f>
        <v>13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Marcos Roberto Leite da Silva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888</v>
      </c>
      <c r="D19" s="32">
        <f>IF(ISBLANK(D8),0,100*((2/3)*($D8+$D10)/($G8+$G10)))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IF(ISBLANK(D9),0,100*(1/3*(D9/$G9)))</f>
        <v>0</v>
      </c>
      <c r="F20" s="5" t="str">
        <f>IF(COUNTA(D8:F10)=9,"Eleição encerrada no primeiro turno.","")</f>
        <v/>
      </c>
    </row>
    <row r="21" spans="2:11" ht="16.5" thickBot="1" x14ac:dyDescent="0.3">
      <c r="C21" s="24" t="s">
        <v>848</v>
      </c>
      <c r="D21" s="25">
        <f>SUM(D19:D20)</f>
        <v>0</v>
      </c>
    </row>
    <row r="22" spans="2:11" x14ac:dyDescent="0.25">
      <c r="D22" s="2" t="str">
        <f>D18</f>
        <v>Marcos Roberto Leite da Silva</v>
      </c>
    </row>
    <row r="27" spans="2:11" ht="24.95" customHeight="1" x14ac:dyDescent="0.25"/>
    <row r="28" spans="2:11" ht="33.950000000000003" customHeight="1" x14ac:dyDescent="0.25"/>
    <row r="29" spans="2:11" ht="33.950000000000003" customHeight="1" x14ac:dyDescent="0.25"/>
    <row r="30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C1:Q114"/>
  <sheetViews>
    <sheetView workbookViewId="0">
      <selection activeCell="F20" sqref="F20"/>
    </sheetView>
  </sheetViews>
  <sheetFormatPr defaultRowHeight="15" x14ac:dyDescent="0.25"/>
  <cols>
    <col min="1" max="2" width="9.140625" style="46"/>
    <col min="3" max="3" width="8.5703125" style="46" bestFit="1" customWidth="1"/>
    <col min="4" max="4" width="45.140625" style="46" customWidth="1"/>
    <col min="5" max="5" width="9.42578125" style="46" bestFit="1" customWidth="1"/>
    <col min="6" max="6" width="23.42578125" style="46" bestFit="1" customWidth="1"/>
    <col min="7" max="12" width="9.140625" style="46"/>
    <col min="13" max="13" width="49.42578125" style="46" bestFit="1" customWidth="1"/>
    <col min="14" max="14" width="20.42578125" style="46" customWidth="1"/>
    <col min="15" max="15" width="14.85546875" style="46" customWidth="1"/>
    <col min="16" max="16384" width="9.140625" style="46"/>
  </cols>
  <sheetData>
    <row r="1" spans="3:17" x14ac:dyDescent="0.25">
      <c r="N1" s="46" t="s">
        <v>40</v>
      </c>
    </row>
    <row r="5" spans="3:17" x14ac:dyDescent="0.25">
      <c r="C5" s="46" t="s">
        <v>14</v>
      </c>
      <c r="D5" s="46" t="s">
        <v>15</v>
      </c>
      <c r="E5" s="46" t="s">
        <v>16</v>
      </c>
      <c r="F5" s="46" t="s">
        <v>17</v>
      </c>
      <c r="G5" s="46" t="s">
        <v>18</v>
      </c>
      <c r="H5" s="46" t="s">
        <v>19</v>
      </c>
      <c r="I5" s="46" t="s">
        <v>20</v>
      </c>
      <c r="J5" s="46" t="s">
        <v>21</v>
      </c>
      <c r="K5" s="46" t="s">
        <v>22</v>
      </c>
      <c r="L5" s="46" t="s">
        <v>23</v>
      </c>
      <c r="M5" s="46" t="s">
        <v>24</v>
      </c>
      <c r="N5" s="46" t="s">
        <v>25</v>
      </c>
      <c r="O5" s="46" t="s">
        <v>26</v>
      </c>
      <c r="P5" s="46" t="s">
        <v>27</v>
      </c>
      <c r="Q5" s="46" t="s">
        <v>28</v>
      </c>
    </row>
    <row r="6" spans="3:17" x14ac:dyDescent="0.25">
      <c r="C6" s="46" t="s">
        <v>32</v>
      </c>
      <c r="D6" s="46" t="s">
        <v>33</v>
      </c>
      <c r="E6" s="46" t="s">
        <v>34</v>
      </c>
      <c r="F6" s="46" t="s">
        <v>29</v>
      </c>
      <c r="G6" s="46" t="s">
        <v>35</v>
      </c>
      <c r="H6" s="46" t="s">
        <v>36</v>
      </c>
      <c r="I6" s="46" t="s">
        <v>37</v>
      </c>
      <c r="J6" s="46" t="s">
        <v>38</v>
      </c>
      <c r="K6" s="46" t="s">
        <v>30</v>
      </c>
      <c r="L6" s="46" t="s">
        <v>31</v>
      </c>
      <c r="M6" s="46" t="s">
        <v>39</v>
      </c>
      <c r="N6" s="46" t="s">
        <v>40</v>
      </c>
      <c r="O6" s="46" t="s">
        <v>41</v>
      </c>
      <c r="P6" s="46" t="s">
        <v>42</v>
      </c>
    </row>
    <row r="7" spans="3:17" x14ac:dyDescent="0.25">
      <c r="C7" s="46" t="s">
        <v>43</v>
      </c>
      <c r="D7" s="46" t="s">
        <v>44</v>
      </c>
      <c r="E7" s="46" t="s">
        <v>34</v>
      </c>
      <c r="F7" s="46" t="s">
        <v>45</v>
      </c>
      <c r="G7" s="46" t="s">
        <v>46</v>
      </c>
      <c r="H7" s="46" t="s">
        <v>47</v>
      </c>
      <c r="I7" s="46" t="s">
        <v>48</v>
      </c>
      <c r="J7" s="46" t="s">
        <v>38</v>
      </c>
      <c r="K7" s="46" t="s">
        <v>30</v>
      </c>
      <c r="L7" s="46" t="s">
        <v>31</v>
      </c>
      <c r="M7" s="46" t="s">
        <v>39</v>
      </c>
      <c r="N7" s="46" t="s">
        <v>40</v>
      </c>
      <c r="O7" s="46" t="s">
        <v>41</v>
      </c>
      <c r="P7" s="46" t="s">
        <v>42</v>
      </c>
    </row>
    <row r="8" spans="3:17" x14ac:dyDescent="0.25">
      <c r="C8" s="46" t="s">
        <v>49</v>
      </c>
      <c r="D8" s="46" t="s">
        <v>50</v>
      </c>
      <c r="E8" s="46" t="s">
        <v>34</v>
      </c>
      <c r="F8" s="46" t="s">
        <v>51</v>
      </c>
      <c r="G8" s="46" t="s">
        <v>52</v>
      </c>
      <c r="H8" s="46" t="s">
        <v>53</v>
      </c>
      <c r="I8" s="46" t="s">
        <v>54</v>
      </c>
      <c r="J8" s="46" t="s">
        <v>38</v>
      </c>
      <c r="K8" s="46" t="s">
        <v>30</v>
      </c>
      <c r="L8" s="46" t="s">
        <v>31</v>
      </c>
      <c r="M8" s="46" t="s">
        <v>39</v>
      </c>
      <c r="N8" s="46" t="s">
        <v>40</v>
      </c>
      <c r="O8" s="46" t="s">
        <v>41</v>
      </c>
      <c r="P8" s="46" t="s">
        <v>42</v>
      </c>
    </row>
    <row r="9" spans="3:17" x14ac:dyDescent="0.25">
      <c r="C9" s="46" t="s">
        <v>55</v>
      </c>
      <c r="D9" s="46" t="s">
        <v>56</v>
      </c>
      <c r="E9" s="46" t="s">
        <v>57</v>
      </c>
      <c r="F9" s="46" t="s">
        <v>29</v>
      </c>
      <c r="G9" s="46" t="s">
        <v>58</v>
      </c>
      <c r="H9" s="46" t="s">
        <v>59</v>
      </c>
      <c r="I9" s="46" t="s">
        <v>60</v>
      </c>
      <c r="J9" s="46" t="s">
        <v>61</v>
      </c>
      <c r="K9" s="46" t="s">
        <v>30</v>
      </c>
      <c r="L9" s="46" t="s">
        <v>31</v>
      </c>
      <c r="M9" s="46" t="s">
        <v>39</v>
      </c>
      <c r="N9" s="46" t="s">
        <v>40</v>
      </c>
      <c r="O9" s="46" t="s">
        <v>41</v>
      </c>
      <c r="P9" s="46" t="s">
        <v>62</v>
      </c>
    </row>
    <row r="10" spans="3:17" x14ac:dyDescent="0.25">
      <c r="C10" s="46" t="s">
        <v>63</v>
      </c>
      <c r="D10" s="46" t="s">
        <v>64</v>
      </c>
      <c r="E10" s="46" t="s">
        <v>57</v>
      </c>
      <c r="F10" s="46" t="s">
        <v>45</v>
      </c>
      <c r="G10" s="46" t="s">
        <v>65</v>
      </c>
      <c r="H10" s="46" t="s">
        <v>66</v>
      </c>
      <c r="I10" s="46" t="s">
        <v>67</v>
      </c>
      <c r="J10" s="46" t="s">
        <v>61</v>
      </c>
      <c r="K10" s="46" t="s">
        <v>30</v>
      </c>
      <c r="L10" s="46" t="s">
        <v>31</v>
      </c>
      <c r="M10" s="46" t="s">
        <v>39</v>
      </c>
      <c r="N10" s="46" t="s">
        <v>40</v>
      </c>
      <c r="O10" s="46" t="s">
        <v>41</v>
      </c>
      <c r="P10" s="46" t="s">
        <v>62</v>
      </c>
    </row>
    <row r="11" spans="3:17" x14ac:dyDescent="0.25">
      <c r="C11" s="46" t="s">
        <v>68</v>
      </c>
      <c r="D11" s="46" t="s">
        <v>69</v>
      </c>
      <c r="E11" s="46" t="s">
        <v>57</v>
      </c>
      <c r="F11" s="46" t="s">
        <v>51</v>
      </c>
      <c r="G11" s="46" t="s">
        <v>70</v>
      </c>
      <c r="H11" s="46" t="s">
        <v>71</v>
      </c>
      <c r="I11" s="46" t="s">
        <v>72</v>
      </c>
      <c r="J11" s="46" t="s">
        <v>61</v>
      </c>
      <c r="K11" s="46" t="s">
        <v>30</v>
      </c>
      <c r="L11" s="46" t="s">
        <v>31</v>
      </c>
      <c r="M11" s="46" t="s">
        <v>39</v>
      </c>
      <c r="N11" s="46" t="s">
        <v>40</v>
      </c>
      <c r="O11" s="46" t="s">
        <v>41</v>
      </c>
      <c r="P11" s="46" t="s">
        <v>62</v>
      </c>
    </row>
    <row r="12" spans="3:17" x14ac:dyDescent="0.25">
      <c r="C12" s="46" t="s">
        <v>73</v>
      </c>
      <c r="D12" s="46" t="s">
        <v>74</v>
      </c>
      <c r="E12" s="46" t="s">
        <v>75</v>
      </c>
      <c r="F12" s="46" t="s">
        <v>29</v>
      </c>
      <c r="G12" s="46" t="s">
        <v>76</v>
      </c>
      <c r="H12" s="46" t="s">
        <v>77</v>
      </c>
      <c r="I12" s="46" t="s">
        <v>78</v>
      </c>
      <c r="J12" s="46" t="s">
        <v>79</v>
      </c>
      <c r="K12" s="46" t="s">
        <v>30</v>
      </c>
      <c r="L12" s="46" t="s">
        <v>31</v>
      </c>
      <c r="M12" s="46" t="s">
        <v>39</v>
      </c>
      <c r="N12" s="46" t="s">
        <v>40</v>
      </c>
      <c r="O12" s="46" t="s">
        <v>41</v>
      </c>
      <c r="P12" s="46" t="s">
        <v>80</v>
      </c>
    </row>
    <row r="13" spans="3:17" x14ac:dyDescent="0.25">
      <c r="C13" s="46" t="s">
        <v>81</v>
      </c>
      <c r="D13" s="46" t="s">
        <v>82</v>
      </c>
      <c r="E13" s="46" t="s">
        <v>75</v>
      </c>
      <c r="F13" s="46" t="s">
        <v>45</v>
      </c>
      <c r="G13" s="46" t="s">
        <v>83</v>
      </c>
      <c r="H13" s="46" t="s">
        <v>84</v>
      </c>
      <c r="I13" s="46" t="s">
        <v>85</v>
      </c>
      <c r="J13" s="46" t="s">
        <v>79</v>
      </c>
      <c r="K13" s="46" t="s">
        <v>30</v>
      </c>
      <c r="L13" s="46" t="s">
        <v>31</v>
      </c>
      <c r="M13" s="46" t="s">
        <v>39</v>
      </c>
      <c r="N13" s="46" t="s">
        <v>40</v>
      </c>
      <c r="O13" s="46" t="s">
        <v>41</v>
      </c>
      <c r="P13" s="46" t="s">
        <v>80</v>
      </c>
    </row>
    <row r="14" spans="3:17" x14ac:dyDescent="0.25">
      <c r="C14" s="46" t="s">
        <v>86</v>
      </c>
      <c r="D14" s="46" t="s">
        <v>87</v>
      </c>
      <c r="E14" s="46" t="s">
        <v>75</v>
      </c>
      <c r="F14" s="46" t="s">
        <v>51</v>
      </c>
      <c r="G14" s="46" t="s">
        <v>88</v>
      </c>
      <c r="H14" s="46" t="s">
        <v>89</v>
      </c>
      <c r="I14" s="46" t="s">
        <v>90</v>
      </c>
      <c r="J14" s="46" t="s">
        <v>79</v>
      </c>
      <c r="K14" s="46" t="s">
        <v>30</v>
      </c>
      <c r="L14" s="46" t="s">
        <v>31</v>
      </c>
      <c r="M14" s="46" t="s">
        <v>39</v>
      </c>
      <c r="N14" s="46" t="s">
        <v>40</v>
      </c>
      <c r="O14" s="46" t="s">
        <v>41</v>
      </c>
      <c r="P14" s="46" t="s">
        <v>80</v>
      </c>
    </row>
    <row r="15" spans="3:17" x14ac:dyDescent="0.25">
      <c r="C15" s="46" t="s">
        <v>91</v>
      </c>
      <c r="D15" s="46" t="s">
        <v>92</v>
      </c>
      <c r="E15" s="46" t="s">
        <v>93</v>
      </c>
      <c r="F15" s="46" t="s">
        <v>29</v>
      </c>
      <c r="G15" s="46" t="s">
        <v>94</v>
      </c>
      <c r="H15" s="46" t="s">
        <v>95</v>
      </c>
      <c r="I15" s="46" t="s">
        <v>96</v>
      </c>
      <c r="J15" s="46" t="s">
        <v>97</v>
      </c>
      <c r="K15" s="46" t="s">
        <v>30</v>
      </c>
      <c r="L15" s="46" t="s">
        <v>31</v>
      </c>
      <c r="M15" s="46" t="s">
        <v>39</v>
      </c>
      <c r="N15" s="46" t="s">
        <v>40</v>
      </c>
      <c r="O15" s="46" t="s">
        <v>41</v>
      </c>
      <c r="P15" s="46" t="s">
        <v>98</v>
      </c>
    </row>
    <row r="16" spans="3:17" x14ac:dyDescent="0.25">
      <c r="C16" s="46" t="s">
        <v>99</v>
      </c>
      <c r="D16" s="46" t="s">
        <v>100</v>
      </c>
      <c r="E16" s="46" t="s">
        <v>93</v>
      </c>
      <c r="F16" s="46" t="s">
        <v>45</v>
      </c>
      <c r="G16" s="46" t="s">
        <v>101</v>
      </c>
      <c r="H16" s="46" t="s">
        <v>102</v>
      </c>
      <c r="I16" s="46" t="s">
        <v>103</v>
      </c>
      <c r="J16" s="46" t="s">
        <v>97</v>
      </c>
      <c r="K16" s="46" t="s">
        <v>30</v>
      </c>
      <c r="L16" s="46" t="s">
        <v>31</v>
      </c>
      <c r="M16" s="46" t="s">
        <v>39</v>
      </c>
      <c r="N16" s="46" t="s">
        <v>40</v>
      </c>
      <c r="O16" s="46" t="s">
        <v>41</v>
      </c>
      <c r="P16" s="46" t="s">
        <v>98</v>
      </c>
    </row>
    <row r="17" spans="3:16" x14ac:dyDescent="0.25">
      <c r="C17" s="46" t="s">
        <v>104</v>
      </c>
      <c r="D17" s="46" t="s">
        <v>105</v>
      </c>
      <c r="E17" s="46" t="s">
        <v>93</v>
      </c>
      <c r="F17" s="46" t="s">
        <v>51</v>
      </c>
      <c r="G17" s="46" t="s">
        <v>106</v>
      </c>
      <c r="H17" s="46" t="s">
        <v>107</v>
      </c>
      <c r="I17" s="46" t="s">
        <v>108</v>
      </c>
      <c r="J17" s="46" t="s">
        <v>97</v>
      </c>
      <c r="K17" s="46" t="s">
        <v>30</v>
      </c>
      <c r="L17" s="46" t="s">
        <v>31</v>
      </c>
      <c r="M17" s="46" t="s">
        <v>39</v>
      </c>
      <c r="N17" s="46" t="s">
        <v>40</v>
      </c>
      <c r="O17" s="46" t="s">
        <v>41</v>
      </c>
      <c r="P17" s="46" t="s">
        <v>98</v>
      </c>
    </row>
    <row r="18" spans="3:16" x14ac:dyDescent="0.25">
      <c r="C18" s="46" t="s">
        <v>109</v>
      </c>
      <c r="D18" s="46" t="s">
        <v>110</v>
      </c>
      <c r="E18" s="46" t="s">
        <v>111</v>
      </c>
      <c r="F18" s="46" t="s">
        <v>29</v>
      </c>
      <c r="G18" s="46" t="s">
        <v>112</v>
      </c>
      <c r="H18" s="46" t="s">
        <v>113</v>
      </c>
      <c r="I18" s="46" t="s">
        <v>114</v>
      </c>
      <c r="J18" s="46" t="s">
        <v>115</v>
      </c>
      <c r="K18" s="46" t="s">
        <v>30</v>
      </c>
      <c r="L18" s="46" t="s">
        <v>31</v>
      </c>
      <c r="M18" s="46" t="s">
        <v>39</v>
      </c>
      <c r="N18" s="46" t="s">
        <v>40</v>
      </c>
      <c r="O18" s="46" t="s">
        <v>41</v>
      </c>
      <c r="P18" s="46" t="s">
        <v>116</v>
      </c>
    </row>
    <row r="19" spans="3:16" x14ac:dyDescent="0.25">
      <c r="C19" s="46" t="s">
        <v>117</v>
      </c>
      <c r="D19" s="46" t="s">
        <v>118</v>
      </c>
      <c r="E19" s="46" t="s">
        <v>111</v>
      </c>
      <c r="F19" s="46" t="s">
        <v>45</v>
      </c>
      <c r="G19" s="46" t="s">
        <v>119</v>
      </c>
      <c r="H19" s="46" t="s">
        <v>120</v>
      </c>
      <c r="I19" s="46" t="s">
        <v>121</v>
      </c>
      <c r="J19" s="46" t="s">
        <v>115</v>
      </c>
      <c r="K19" s="46" t="s">
        <v>30</v>
      </c>
      <c r="L19" s="46" t="s">
        <v>31</v>
      </c>
      <c r="M19" s="46" t="s">
        <v>39</v>
      </c>
      <c r="N19" s="46" t="s">
        <v>40</v>
      </c>
      <c r="O19" s="46" t="s">
        <v>41</v>
      </c>
      <c r="P19" s="46" t="s">
        <v>116</v>
      </c>
    </row>
    <row r="20" spans="3:16" x14ac:dyDescent="0.25">
      <c r="C20" s="46" t="s">
        <v>122</v>
      </c>
      <c r="D20" s="46" t="s">
        <v>123</v>
      </c>
      <c r="E20" s="46" t="s">
        <v>111</v>
      </c>
      <c r="F20" s="46" t="s">
        <v>51</v>
      </c>
      <c r="G20" s="46" t="s">
        <v>124</v>
      </c>
      <c r="H20" s="46" t="s">
        <v>125</v>
      </c>
      <c r="I20" s="46" t="s">
        <v>54</v>
      </c>
      <c r="J20" s="46" t="s">
        <v>115</v>
      </c>
      <c r="K20" s="46" t="s">
        <v>30</v>
      </c>
      <c r="L20" s="46" t="s">
        <v>31</v>
      </c>
      <c r="M20" s="46" t="s">
        <v>39</v>
      </c>
      <c r="N20" s="46" t="s">
        <v>40</v>
      </c>
      <c r="O20" s="46" t="s">
        <v>41</v>
      </c>
      <c r="P20" s="46" t="s">
        <v>116</v>
      </c>
    </row>
    <row r="21" spans="3:16" x14ac:dyDescent="0.25">
      <c r="C21" s="46" t="s">
        <v>126</v>
      </c>
      <c r="D21" s="46" t="s">
        <v>127</v>
      </c>
      <c r="E21" s="46" t="s">
        <v>128</v>
      </c>
      <c r="F21" s="46" t="s">
        <v>29</v>
      </c>
      <c r="G21" s="46" t="s">
        <v>129</v>
      </c>
      <c r="H21" s="46" t="s">
        <v>130</v>
      </c>
      <c r="I21" s="46" t="s">
        <v>131</v>
      </c>
      <c r="J21" s="46" t="s">
        <v>132</v>
      </c>
      <c r="K21" s="46" t="s">
        <v>30</v>
      </c>
      <c r="L21" s="46" t="s">
        <v>31</v>
      </c>
      <c r="M21" s="46" t="s">
        <v>39</v>
      </c>
      <c r="N21" s="46" t="s">
        <v>40</v>
      </c>
      <c r="O21" s="46" t="s">
        <v>41</v>
      </c>
      <c r="P21" s="46" t="s">
        <v>133</v>
      </c>
    </row>
    <row r="22" spans="3:16" x14ac:dyDescent="0.25">
      <c r="C22" s="46" t="s">
        <v>134</v>
      </c>
      <c r="D22" s="46" t="s">
        <v>135</v>
      </c>
      <c r="E22" s="46" t="s">
        <v>128</v>
      </c>
      <c r="F22" s="46" t="s">
        <v>45</v>
      </c>
      <c r="G22" s="46" t="s">
        <v>136</v>
      </c>
      <c r="H22" s="46" t="s">
        <v>137</v>
      </c>
      <c r="I22" s="46" t="s">
        <v>138</v>
      </c>
      <c r="J22" s="46" t="s">
        <v>132</v>
      </c>
      <c r="K22" s="46" t="s">
        <v>30</v>
      </c>
      <c r="L22" s="46" t="s">
        <v>31</v>
      </c>
      <c r="M22" s="46" t="s">
        <v>39</v>
      </c>
      <c r="N22" s="46" t="s">
        <v>40</v>
      </c>
      <c r="O22" s="46" t="s">
        <v>41</v>
      </c>
      <c r="P22" s="46" t="s">
        <v>133</v>
      </c>
    </row>
    <row r="23" spans="3:16" x14ac:dyDescent="0.25">
      <c r="C23" s="46" t="s">
        <v>139</v>
      </c>
      <c r="D23" s="46" t="s">
        <v>140</v>
      </c>
      <c r="E23" s="46" t="s">
        <v>128</v>
      </c>
      <c r="F23" s="46" t="s">
        <v>51</v>
      </c>
      <c r="G23" s="46" t="s">
        <v>141</v>
      </c>
      <c r="H23" s="46" t="s">
        <v>142</v>
      </c>
      <c r="I23" s="46" t="s">
        <v>143</v>
      </c>
      <c r="J23" s="46" t="s">
        <v>132</v>
      </c>
      <c r="K23" s="46" t="s">
        <v>30</v>
      </c>
      <c r="L23" s="46" t="s">
        <v>31</v>
      </c>
      <c r="M23" s="46" t="s">
        <v>39</v>
      </c>
      <c r="N23" s="46" t="s">
        <v>40</v>
      </c>
      <c r="O23" s="46" t="s">
        <v>41</v>
      </c>
      <c r="P23" s="46" t="s">
        <v>133</v>
      </c>
    </row>
    <row r="24" spans="3:16" x14ac:dyDescent="0.25">
      <c r="C24" s="46" t="s">
        <v>144</v>
      </c>
      <c r="D24" s="46" t="s">
        <v>145</v>
      </c>
      <c r="E24" s="46" t="s">
        <v>146</v>
      </c>
      <c r="F24" s="46" t="s">
        <v>29</v>
      </c>
      <c r="G24" s="46" t="s">
        <v>147</v>
      </c>
      <c r="H24" s="46" t="s">
        <v>148</v>
      </c>
      <c r="I24" s="46" t="s">
        <v>149</v>
      </c>
      <c r="J24" s="46" t="s">
        <v>150</v>
      </c>
      <c r="K24" s="46" t="s">
        <v>30</v>
      </c>
      <c r="L24" s="46" t="s">
        <v>31</v>
      </c>
      <c r="M24" s="46" t="s">
        <v>39</v>
      </c>
      <c r="N24" s="46" t="s">
        <v>40</v>
      </c>
      <c r="O24" s="46" t="s">
        <v>41</v>
      </c>
      <c r="P24" s="46" t="s">
        <v>151</v>
      </c>
    </row>
    <row r="25" spans="3:16" x14ac:dyDescent="0.25">
      <c r="C25" s="46" t="s">
        <v>152</v>
      </c>
      <c r="D25" s="46" t="s">
        <v>153</v>
      </c>
      <c r="E25" s="46" t="s">
        <v>146</v>
      </c>
      <c r="F25" s="46" t="s">
        <v>45</v>
      </c>
      <c r="G25" s="46" t="s">
        <v>154</v>
      </c>
      <c r="H25" s="46" t="s">
        <v>155</v>
      </c>
      <c r="I25" s="46" t="s">
        <v>156</v>
      </c>
      <c r="J25" s="46" t="s">
        <v>150</v>
      </c>
      <c r="K25" s="46" t="s">
        <v>30</v>
      </c>
      <c r="L25" s="46" t="s">
        <v>31</v>
      </c>
      <c r="M25" s="46" t="s">
        <v>39</v>
      </c>
      <c r="N25" s="46" t="s">
        <v>40</v>
      </c>
      <c r="O25" s="46" t="s">
        <v>41</v>
      </c>
      <c r="P25" s="46" t="s">
        <v>151</v>
      </c>
    </row>
    <row r="26" spans="3:16" x14ac:dyDescent="0.25">
      <c r="C26" s="46" t="s">
        <v>157</v>
      </c>
      <c r="D26" s="46" t="s">
        <v>158</v>
      </c>
      <c r="E26" s="46" t="s">
        <v>146</v>
      </c>
      <c r="F26" s="46" t="s">
        <v>51</v>
      </c>
      <c r="G26" s="46" t="s">
        <v>159</v>
      </c>
      <c r="H26" s="46" t="s">
        <v>160</v>
      </c>
      <c r="I26" s="46" t="s">
        <v>161</v>
      </c>
      <c r="J26" s="46" t="s">
        <v>150</v>
      </c>
      <c r="K26" s="46" t="s">
        <v>30</v>
      </c>
      <c r="L26" s="46" t="s">
        <v>31</v>
      </c>
      <c r="M26" s="46" t="s">
        <v>39</v>
      </c>
      <c r="N26" s="46" t="s">
        <v>40</v>
      </c>
      <c r="O26" s="46" t="s">
        <v>41</v>
      </c>
      <c r="P26" s="46" t="s">
        <v>151</v>
      </c>
    </row>
    <row r="27" spans="3:16" x14ac:dyDescent="0.25">
      <c r="C27" s="46" t="s">
        <v>162</v>
      </c>
      <c r="D27" s="46" t="s">
        <v>163</v>
      </c>
      <c r="E27" s="46" t="s">
        <v>164</v>
      </c>
      <c r="F27" s="46" t="s">
        <v>29</v>
      </c>
      <c r="G27" s="46" t="s">
        <v>165</v>
      </c>
      <c r="H27" s="46" t="s">
        <v>166</v>
      </c>
      <c r="I27" s="46" t="s">
        <v>167</v>
      </c>
      <c r="J27" s="46" t="s">
        <v>168</v>
      </c>
      <c r="K27" s="46" t="s">
        <v>30</v>
      </c>
      <c r="L27" s="46" t="s">
        <v>31</v>
      </c>
      <c r="M27" s="46" t="s">
        <v>39</v>
      </c>
      <c r="N27" s="46" t="s">
        <v>40</v>
      </c>
      <c r="O27" s="46" t="s">
        <v>41</v>
      </c>
      <c r="P27" s="46" t="s">
        <v>169</v>
      </c>
    </row>
    <row r="28" spans="3:16" x14ac:dyDescent="0.25">
      <c r="C28" s="46" t="s">
        <v>170</v>
      </c>
      <c r="D28" s="46" t="s">
        <v>171</v>
      </c>
      <c r="E28" s="46" t="s">
        <v>164</v>
      </c>
      <c r="F28" s="46" t="s">
        <v>45</v>
      </c>
      <c r="G28" s="46" t="s">
        <v>172</v>
      </c>
      <c r="H28" s="46" t="s">
        <v>173</v>
      </c>
      <c r="I28" s="46" t="s">
        <v>174</v>
      </c>
      <c r="J28" s="46" t="s">
        <v>168</v>
      </c>
      <c r="K28" s="46" t="s">
        <v>30</v>
      </c>
      <c r="L28" s="46" t="s">
        <v>31</v>
      </c>
      <c r="M28" s="46" t="s">
        <v>39</v>
      </c>
      <c r="N28" s="46" t="s">
        <v>40</v>
      </c>
      <c r="O28" s="46" t="s">
        <v>41</v>
      </c>
      <c r="P28" s="46" t="s">
        <v>169</v>
      </c>
    </row>
    <row r="29" spans="3:16" x14ac:dyDescent="0.25">
      <c r="C29" s="46" t="s">
        <v>175</v>
      </c>
      <c r="D29" s="46" t="s">
        <v>176</v>
      </c>
      <c r="E29" s="46" t="s">
        <v>164</v>
      </c>
      <c r="F29" s="46" t="s">
        <v>51</v>
      </c>
      <c r="G29" s="46" t="s">
        <v>177</v>
      </c>
      <c r="H29" s="46" t="s">
        <v>178</v>
      </c>
      <c r="I29" s="46" t="s">
        <v>179</v>
      </c>
      <c r="J29" s="46" t="s">
        <v>168</v>
      </c>
      <c r="K29" s="46" t="s">
        <v>30</v>
      </c>
      <c r="L29" s="46" t="s">
        <v>31</v>
      </c>
      <c r="M29" s="46" t="s">
        <v>39</v>
      </c>
      <c r="N29" s="46" t="s">
        <v>40</v>
      </c>
      <c r="O29" s="46" t="s">
        <v>41</v>
      </c>
      <c r="P29" s="46" t="s">
        <v>169</v>
      </c>
    </row>
    <row r="30" spans="3:16" x14ac:dyDescent="0.25">
      <c r="C30" s="46" t="s">
        <v>180</v>
      </c>
      <c r="D30" s="46" t="s">
        <v>181</v>
      </c>
      <c r="E30" s="46" t="s">
        <v>182</v>
      </c>
      <c r="F30" s="46" t="s">
        <v>29</v>
      </c>
      <c r="G30" s="46" t="s">
        <v>183</v>
      </c>
      <c r="H30" s="46" t="s">
        <v>184</v>
      </c>
      <c r="I30" s="46" t="s">
        <v>185</v>
      </c>
      <c r="J30" s="46" t="s">
        <v>186</v>
      </c>
      <c r="K30" s="46" t="s">
        <v>30</v>
      </c>
      <c r="L30" s="46" t="s">
        <v>31</v>
      </c>
      <c r="M30" s="46" t="s">
        <v>39</v>
      </c>
      <c r="N30" s="46" t="s">
        <v>40</v>
      </c>
      <c r="O30" s="46" t="s">
        <v>41</v>
      </c>
      <c r="P30" s="46" t="s">
        <v>187</v>
      </c>
    </row>
    <row r="31" spans="3:16" x14ac:dyDescent="0.25">
      <c r="C31" s="46" t="s">
        <v>188</v>
      </c>
      <c r="D31" s="46" t="s">
        <v>189</v>
      </c>
      <c r="E31" s="46" t="s">
        <v>182</v>
      </c>
      <c r="F31" s="46" t="s">
        <v>45</v>
      </c>
      <c r="G31" s="46" t="s">
        <v>190</v>
      </c>
      <c r="H31" s="46" t="s">
        <v>191</v>
      </c>
      <c r="I31" s="46" t="s">
        <v>192</v>
      </c>
      <c r="J31" s="46" t="s">
        <v>186</v>
      </c>
      <c r="K31" s="46" t="s">
        <v>30</v>
      </c>
      <c r="L31" s="46" t="s">
        <v>31</v>
      </c>
      <c r="M31" s="46" t="s">
        <v>39</v>
      </c>
      <c r="N31" s="46" t="s">
        <v>40</v>
      </c>
      <c r="O31" s="46" t="s">
        <v>41</v>
      </c>
      <c r="P31" s="46" t="s">
        <v>187</v>
      </c>
    </row>
    <row r="32" spans="3:16" x14ac:dyDescent="0.25">
      <c r="C32" s="46" t="s">
        <v>193</v>
      </c>
      <c r="D32" s="46" t="s">
        <v>194</v>
      </c>
      <c r="E32" s="46" t="s">
        <v>182</v>
      </c>
      <c r="F32" s="46" t="s">
        <v>51</v>
      </c>
      <c r="G32" s="46" t="s">
        <v>195</v>
      </c>
      <c r="H32" s="46" t="s">
        <v>196</v>
      </c>
      <c r="I32" s="46" t="s">
        <v>197</v>
      </c>
      <c r="J32" s="46" t="s">
        <v>186</v>
      </c>
      <c r="K32" s="46" t="s">
        <v>30</v>
      </c>
      <c r="L32" s="46" t="s">
        <v>31</v>
      </c>
      <c r="M32" s="46" t="s">
        <v>39</v>
      </c>
      <c r="N32" s="46" t="s">
        <v>40</v>
      </c>
      <c r="O32" s="46" t="s">
        <v>41</v>
      </c>
      <c r="P32" s="46" t="s">
        <v>187</v>
      </c>
    </row>
    <row r="33" spans="3:16" x14ac:dyDescent="0.25">
      <c r="C33" s="46" t="s">
        <v>198</v>
      </c>
      <c r="D33" s="46" t="s">
        <v>199</v>
      </c>
      <c r="E33" s="46" t="s">
        <v>200</v>
      </c>
      <c r="F33" s="46" t="s">
        <v>29</v>
      </c>
      <c r="G33" s="46" t="s">
        <v>201</v>
      </c>
      <c r="H33" s="46" t="s">
        <v>202</v>
      </c>
      <c r="I33" s="46" t="s">
        <v>203</v>
      </c>
      <c r="J33" s="46" t="s">
        <v>204</v>
      </c>
      <c r="K33" s="46" t="s">
        <v>30</v>
      </c>
      <c r="L33" s="46" t="s">
        <v>31</v>
      </c>
      <c r="M33" s="46" t="s">
        <v>39</v>
      </c>
      <c r="N33" s="46" t="s">
        <v>40</v>
      </c>
      <c r="O33" s="46" t="s">
        <v>41</v>
      </c>
      <c r="P33" s="46" t="s">
        <v>205</v>
      </c>
    </row>
    <row r="34" spans="3:16" x14ac:dyDescent="0.25">
      <c r="C34" s="46" t="s">
        <v>206</v>
      </c>
      <c r="D34" s="46" t="s">
        <v>207</v>
      </c>
      <c r="E34" s="46" t="s">
        <v>200</v>
      </c>
      <c r="F34" s="46" t="s">
        <v>45</v>
      </c>
      <c r="G34" s="46" t="s">
        <v>208</v>
      </c>
      <c r="H34" s="46" t="s">
        <v>209</v>
      </c>
      <c r="I34" s="46" t="s">
        <v>210</v>
      </c>
      <c r="J34" s="46" t="s">
        <v>204</v>
      </c>
      <c r="K34" s="46" t="s">
        <v>30</v>
      </c>
      <c r="L34" s="46" t="s">
        <v>31</v>
      </c>
      <c r="M34" s="46" t="s">
        <v>39</v>
      </c>
      <c r="N34" s="46" t="s">
        <v>40</v>
      </c>
      <c r="O34" s="46" t="s">
        <v>41</v>
      </c>
      <c r="P34" s="46" t="s">
        <v>205</v>
      </c>
    </row>
    <row r="35" spans="3:16" x14ac:dyDescent="0.25">
      <c r="C35" s="46" t="s">
        <v>211</v>
      </c>
      <c r="D35" s="46" t="s">
        <v>212</v>
      </c>
      <c r="E35" s="46" t="s">
        <v>200</v>
      </c>
      <c r="F35" s="46" t="s">
        <v>51</v>
      </c>
      <c r="G35" s="46" t="s">
        <v>213</v>
      </c>
      <c r="H35" s="46" t="s">
        <v>214</v>
      </c>
      <c r="I35" s="46" t="s">
        <v>215</v>
      </c>
      <c r="J35" s="46" t="s">
        <v>204</v>
      </c>
      <c r="K35" s="46" t="s">
        <v>30</v>
      </c>
      <c r="L35" s="46" t="s">
        <v>31</v>
      </c>
      <c r="M35" s="46" t="s">
        <v>39</v>
      </c>
      <c r="N35" s="46" t="s">
        <v>40</v>
      </c>
      <c r="O35" s="46" t="s">
        <v>41</v>
      </c>
      <c r="P35" s="46" t="s">
        <v>205</v>
      </c>
    </row>
    <row r="36" spans="3:16" x14ac:dyDescent="0.25">
      <c r="C36" s="46" t="s">
        <v>216</v>
      </c>
      <c r="D36" s="46" t="s">
        <v>217</v>
      </c>
      <c r="E36" s="46" t="s">
        <v>218</v>
      </c>
      <c r="F36" s="46" t="s">
        <v>29</v>
      </c>
      <c r="G36" s="46" t="s">
        <v>219</v>
      </c>
      <c r="H36" s="46" t="s">
        <v>220</v>
      </c>
      <c r="I36" s="46" t="s">
        <v>221</v>
      </c>
      <c r="J36" s="46" t="s">
        <v>222</v>
      </c>
      <c r="K36" s="46" t="s">
        <v>30</v>
      </c>
      <c r="L36" s="46" t="s">
        <v>31</v>
      </c>
      <c r="M36" s="46" t="s">
        <v>39</v>
      </c>
      <c r="N36" s="46" t="s">
        <v>40</v>
      </c>
      <c r="O36" s="46" t="s">
        <v>41</v>
      </c>
      <c r="P36" s="46" t="s">
        <v>223</v>
      </c>
    </row>
    <row r="37" spans="3:16" x14ac:dyDescent="0.25">
      <c r="C37" s="46" t="s">
        <v>224</v>
      </c>
      <c r="D37" s="46" t="s">
        <v>225</v>
      </c>
      <c r="E37" s="46" t="s">
        <v>218</v>
      </c>
      <c r="F37" s="46" t="s">
        <v>45</v>
      </c>
      <c r="G37" s="46" t="s">
        <v>226</v>
      </c>
      <c r="H37" s="46" t="s">
        <v>227</v>
      </c>
      <c r="I37" s="46" t="s">
        <v>228</v>
      </c>
      <c r="J37" s="46" t="s">
        <v>222</v>
      </c>
      <c r="K37" s="46" t="s">
        <v>30</v>
      </c>
      <c r="L37" s="46" t="s">
        <v>31</v>
      </c>
      <c r="M37" s="46" t="s">
        <v>39</v>
      </c>
      <c r="N37" s="46" t="s">
        <v>40</v>
      </c>
      <c r="O37" s="46" t="s">
        <v>41</v>
      </c>
      <c r="P37" s="46" t="s">
        <v>223</v>
      </c>
    </row>
    <row r="38" spans="3:16" x14ac:dyDescent="0.25">
      <c r="C38" s="46" t="s">
        <v>229</v>
      </c>
      <c r="D38" s="46" t="s">
        <v>230</v>
      </c>
      <c r="E38" s="46" t="s">
        <v>218</v>
      </c>
      <c r="F38" s="46" t="s">
        <v>51</v>
      </c>
      <c r="G38" s="46" t="s">
        <v>231</v>
      </c>
      <c r="H38" s="46" t="s">
        <v>232</v>
      </c>
      <c r="I38" s="46" t="s">
        <v>215</v>
      </c>
      <c r="J38" s="46" t="s">
        <v>222</v>
      </c>
      <c r="K38" s="46" t="s">
        <v>30</v>
      </c>
      <c r="L38" s="46" t="s">
        <v>31</v>
      </c>
      <c r="M38" s="46" t="s">
        <v>39</v>
      </c>
      <c r="N38" s="46" t="s">
        <v>40</v>
      </c>
      <c r="O38" s="46" t="s">
        <v>41</v>
      </c>
      <c r="P38" s="46" t="s">
        <v>223</v>
      </c>
    </row>
    <row r="39" spans="3:16" x14ac:dyDescent="0.25">
      <c r="C39" s="46" t="s">
        <v>233</v>
      </c>
      <c r="D39" s="46" t="s">
        <v>234</v>
      </c>
      <c r="E39" s="46" t="s">
        <v>235</v>
      </c>
      <c r="F39" s="46" t="s">
        <v>29</v>
      </c>
      <c r="G39" s="46" t="s">
        <v>236</v>
      </c>
      <c r="H39" s="46" t="s">
        <v>237</v>
      </c>
      <c r="I39" s="46" t="s">
        <v>238</v>
      </c>
      <c r="J39" s="46" t="s">
        <v>239</v>
      </c>
      <c r="K39" s="46" t="s">
        <v>30</v>
      </c>
      <c r="L39" s="46" t="s">
        <v>31</v>
      </c>
      <c r="M39" s="46" t="s">
        <v>39</v>
      </c>
      <c r="N39" s="46" t="s">
        <v>40</v>
      </c>
      <c r="O39" s="46" t="s">
        <v>41</v>
      </c>
      <c r="P39" s="46" t="s">
        <v>240</v>
      </c>
    </row>
    <row r="40" spans="3:16" x14ac:dyDescent="0.25">
      <c r="C40" s="46" t="s">
        <v>241</v>
      </c>
      <c r="D40" s="46" t="s">
        <v>242</v>
      </c>
      <c r="E40" s="46" t="s">
        <v>235</v>
      </c>
      <c r="F40" s="46" t="s">
        <v>45</v>
      </c>
      <c r="G40" s="46" t="s">
        <v>243</v>
      </c>
      <c r="H40" s="46" t="s">
        <v>244</v>
      </c>
      <c r="I40" s="46" t="s">
        <v>245</v>
      </c>
      <c r="J40" s="46" t="s">
        <v>239</v>
      </c>
      <c r="K40" s="46" t="s">
        <v>30</v>
      </c>
      <c r="L40" s="46" t="s">
        <v>31</v>
      </c>
      <c r="M40" s="46" t="s">
        <v>39</v>
      </c>
      <c r="N40" s="46" t="s">
        <v>40</v>
      </c>
      <c r="O40" s="46" t="s">
        <v>41</v>
      </c>
      <c r="P40" s="46" t="s">
        <v>240</v>
      </c>
    </row>
    <row r="41" spans="3:16" x14ac:dyDescent="0.25">
      <c r="C41" s="46" t="s">
        <v>246</v>
      </c>
      <c r="D41" s="46" t="s">
        <v>247</v>
      </c>
      <c r="E41" s="46" t="s">
        <v>235</v>
      </c>
      <c r="F41" s="46" t="s">
        <v>51</v>
      </c>
      <c r="G41" s="46" t="s">
        <v>248</v>
      </c>
      <c r="H41" s="46" t="s">
        <v>249</v>
      </c>
      <c r="I41" s="46" t="s">
        <v>250</v>
      </c>
      <c r="J41" s="46" t="s">
        <v>239</v>
      </c>
      <c r="K41" s="46" t="s">
        <v>30</v>
      </c>
      <c r="L41" s="46" t="s">
        <v>31</v>
      </c>
      <c r="M41" s="46" t="s">
        <v>39</v>
      </c>
      <c r="N41" s="46" t="s">
        <v>40</v>
      </c>
      <c r="O41" s="46" t="s">
        <v>41</v>
      </c>
      <c r="P41" s="46" t="s">
        <v>240</v>
      </c>
    </row>
    <row r="42" spans="3:16" x14ac:dyDescent="0.25">
      <c r="C42" s="46" t="s">
        <v>251</v>
      </c>
      <c r="D42" s="46" t="s">
        <v>252</v>
      </c>
      <c r="E42" s="46" t="s">
        <v>253</v>
      </c>
      <c r="F42" s="46" t="s">
        <v>29</v>
      </c>
      <c r="G42" s="46" t="s">
        <v>254</v>
      </c>
      <c r="H42" s="46" t="s">
        <v>255</v>
      </c>
      <c r="I42" s="46" t="s">
        <v>256</v>
      </c>
      <c r="J42" s="46" t="s">
        <v>257</v>
      </c>
      <c r="K42" s="46" t="s">
        <v>30</v>
      </c>
      <c r="L42" s="46" t="s">
        <v>31</v>
      </c>
      <c r="M42" s="46" t="s">
        <v>39</v>
      </c>
      <c r="N42" s="46" t="s">
        <v>40</v>
      </c>
      <c r="O42" s="46" t="s">
        <v>41</v>
      </c>
      <c r="P42" s="46" t="s">
        <v>258</v>
      </c>
    </row>
    <row r="43" spans="3:16" x14ac:dyDescent="0.25">
      <c r="C43" s="46" t="s">
        <v>259</v>
      </c>
      <c r="D43" s="46" t="s">
        <v>260</v>
      </c>
      <c r="E43" s="46" t="s">
        <v>253</v>
      </c>
      <c r="F43" s="46" t="s">
        <v>45</v>
      </c>
      <c r="G43" s="46" t="s">
        <v>261</v>
      </c>
      <c r="H43" s="46" t="s">
        <v>262</v>
      </c>
      <c r="I43" s="46" t="s">
        <v>263</v>
      </c>
      <c r="J43" s="46" t="s">
        <v>257</v>
      </c>
      <c r="K43" s="46" t="s">
        <v>30</v>
      </c>
      <c r="L43" s="46" t="s">
        <v>31</v>
      </c>
      <c r="M43" s="46" t="s">
        <v>39</v>
      </c>
      <c r="N43" s="46" t="s">
        <v>40</v>
      </c>
      <c r="O43" s="46" t="s">
        <v>41</v>
      </c>
      <c r="P43" s="46" t="s">
        <v>258</v>
      </c>
    </row>
    <row r="44" spans="3:16" x14ac:dyDescent="0.25">
      <c r="C44" s="46" t="s">
        <v>264</v>
      </c>
      <c r="D44" s="46" t="s">
        <v>265</v>
      </c>
      <c r="E44" s="46" t="s">
        <v>253</v>
      </c>
      <c r="F44" s="46" t="s">
        <v>51</v>
      </c>
      <c r="G44" s="46" t="s">
        <v>266</v>
      </c>
      <c r="H44" s="46" t="s">
        <v>267</v>
      </c>
      <c r="I44" s="46" t="s">
        <v>268</v>
      </c>
      <c r="J44" s="46" t="s">
        <v>257</v>
      </c>
      <c r="K44" s="46" t="s">
        <v>30</v>
      </c>
      <c r="L44" s="46" t="s">
        <v>31</v>
      </c>
      <c r="M44" s="46" t="s">
        <v>39</v>
      </c>
      <c r="N44" s="46" t="s">
        <v>40</v>
      </c>
      <c r="O44" s="46" t="s">
        <v>41</v>
      </c>
      <c r="P44" s="46" t="s">
        <v>258</v>
      </c>
    </row>
    <row r="45" spans="3:16" x14ac:dyDescent="0.25">
      <c r="C45" s="46" t="s">
        <v>269</v>
      </c>
      <c r="D45" s="46" t="s">
        <v>270</v>
      </c>
      <c r="E45" s="46" t="s">
        <v>271</v>
      </c>
      <c r="F45" s="46" t="s">
        <v>29</v>
      </c>
      <c r="G45" s="46" t="s">
        <v>272</v>
      </c>
      <c r="H45" s="46" t="s">
        <v>273</v>
      </c>
      <c r="I45" s="46" t="s">
        <v>274</v>
      </c>
      <c r="J45" s="46" t="s">
        <v>275</v>
      </c>
      <c r="K45" s="46" t="s">
        <v>30</v>
      </c>
      <c r="L45" s="46" t="s">
        <v>31</v>
      </c>
      <c r="M45" s="46" t="s">
        <v>39</v>
      </c>
      <c r="N45" s="46" t="s">
        <v>40</v>
      </c>
      <c r="O45" s="46" t="s">
        <v>41</v>
      </c>
      <c r="P45" s="46" t="s">
        <v>276</v>
      </c>
    </row>
    <row r="46" spans="3:16" x14ac:dyDescent="0.25">
      <c r="C46" s="46" t="s">
        <v>277</v>
      </c>
      <c r="D46" s="46" t="s">
        <v>278</v>
      </c>
      <c r="E46" s="46" t="s">
        <v>271</v>
      </c>
      <c r="F46" s="46" t="s">
        <v>45</v>
      </c>
      <c r="G46" s="46" t="s">
        <v>279</v>
      </c>
      <c r="H46" s="46" t="s">
        <v>280</v>
      </c>
      <c r="I46" s="46" t="s">
        <v>281</v>
      </c>
      <c r="J46" s="46" t="s">
        <v>275</v>
      </c>
      <c r="K46" s="46" t="s">
        <v>30</v>
      </c>
      <c r="L46" s="46" t="s">
        <v>31</v>
      </c>
      <c r="M46" s="46" t="s">
        <v>39</v>
      </c>
      <c r="N46" s="46" t="s">
        <v>40</v>
      </c>
      <c r="O46" s="46" t="s">
        <v>41</v>
      </c>
      <c r="P46" s="46" t="s">
        <v>276</v>
      </c>
    </row>
    <row r="47" spans="3:16" x14ac:dyDescent="0.25">
      <c r="C47" s="46" t="s">
        <v>282</v>
      </c>
      <c r="D47" s="46" t="s">
        <v>283</v>
      </c>
      <c r="E47" s="46" t="s">
        <v>271</v>
      </c>
      <c r="F47" s="46" t="s">
        <v>51</v>
      </c>
      <c r="G47" s="46" t="s">
        <v>284</v>
      </c>
      <c r="H47" s="46" t="s">
        <v>285</v>
      </c>
      <c r="I47" s="46" t="s">
        <v>286</v>
      </c>
      <c r="J47" s="46" t="s">
        <v>275</v>
      </c>
      <c r="K47" s="46" t="s">
        <v>30</v>
      </c>
      <c r="L47" s="46" t="s">
        <v>31</v>
      </c>
      <c r="M47" s="46" t="s">
        <v>39</v>
      </c>
      <c r="N47" s="46" t="s">
        <v>40</v>
      </c>
      <c r="O47" s="46" t="s">
        <v>41</v>
      </c>
      <c r="P47" s="46" t="s">
        <v>276</v>
      </c>
    </row>
    <row r="48" spans="3:16" x14ac:dyDescent="0.25">
      <c r="C48" s="46" t="s">
        <v>287</v>
      </c>
      <c r="D48" s="46" t="s">
        <v>288</v>
      </c>
      <c r="E48" s="46" t="s">
        <v>289</v>
      </c>
      <c r="F48" s="46" t="s">
        <v>29</v>
      </c>
      <c r="G48" s="46" t="s">
        <v>290</v>
      </c>
      <c r="H48" s="46" t="s">
        <v>291</v>
      </c>
      <c r="I48" s="46" t="s">
        <v>292</v>
      </c>
      <c r="J48" s="46" t="s">
        <v>293</v>
      </c>
      <c r="K48" s="46" t="s">
        <v>30</v>
      </c>
      <c r="L48" s="46" t="s">
        <v>31</v>
      </c>
      <c r="M48" s="46" t="s">
        <v>39</v>
      </c>
      <c r="N48" s="46" t="s">
        <v>40</v>
      </c>
      <c r="O48" s="46" t="s">
        <v>41</v>
      </c>
      <c r="P48" s="46" t="s">
        <v>294</v>
      </c>
    </row>
    <row r="49" spans="3:16" x14ac:dyDescent="0.25">
      <c r="C49" s="46" t="s">
        <v>295</v>
      </c>
      <c r="D49" s="46" t="s">
        <v>296</v>
      </c>
      <c r="E49" s="46" t="s">
        <v>289</v>
      </c>
      <c r="F49" s="46" t="s">
        <v>45</v>
      </c>
      <c r="G49" s="46" t="s">
        <v>297</v>
      </c>
      <c r="H49" s="46" t="s">
        <v>298</v>
      </c>
      <c r="I49" s="46" t="s">
        <v>299</v>
      </c>
      <c r="J49" s="46" t="s">
        <v>293</v>
      </c>
      <c r="K49" s="46" t="s">
        <v>30</v>
      </c>
      <c r="L49" s="46" t="s">
        <v>31</v>
      </c>
      <c r="M49" s="46" t="s">
        <v>39</v>
      </c>
      <c r="N49" s="46" t="s">
        <v>40</v>
      </c>
      <c r="O49" s="46" t="s">
        <v>41</v>
      </c>
      <c r="P49" s="46" t="s">
        <v>294</v>
      </c>
    </row>
    <row r="50" spans="3:16" x14ac:dyDescent="0.25">
      <c r="C50" s="46" t="s">
        <v>300</v>
      </c>
      <c r="D50" s="46" t="s">
        <v>301</v>
      </c>
      <c r="E50" s="46" t="s">
        <v>289</v>
      </c>
      <c r="F50" s="46" t="s">
        <v>51</v>
      </c>
      <c r="G50" s="46" t="s">
        <v>302</v>
      </c>
      <c r="H50" s="46" t="s">
        <v>303</v>
      </c>
      <c r="I50" s="46" t="s">
        <v>304</v>
      </c>
      <c r="J50" s="46" t="s">
        <v>293</v>
      </c>
      <c r="K50" s="46" t="s">
        <v>30</v>
      </c>
      <c r="L50" s="46" t="s">
        <v>31</v>
      </c>
      <c r="M50" s="46" t="s">
        <v>39</v>
      </c>
      <c r="N50" s="46" t="s">
        <v>40</v>
      </c>
      <c r="O50" s="46" t="s">
        <v>41</v>
      </c>
      <c r="P50" s="46" t="s">
        <v>294</v>
      </c>
    </row>
    <row r="51" spans="3:16" x14ac:dyDescent="0.25">
      <c r="C51" s="46" t="s">
        <v>305</v>
      </c>
      <c r="D51" s="46" t="s">
        <v>306</v>
      </c>
      <c r="E51" s="46" t="s">
        <v>307</v>
      </c>
      <c r="F51" s="46" t="s">
        <v>29</v>
      </c>
      <c r="G51" s="46" t="s">
        <v>308</v>
      </c>
      <c r="H51" s="46" t="s">
        <v>309</v>
      </c>
      <c r="I51" s="46" t="s">
        <v>310</v>
      </c>
      <c r="J51" s="46" t="s">
        <v>311</v>
      </c>
      <c r="K51" s="46" t="s">
        <v>30</v>
      </c>
      <c r="L51" s="46" t="s">
        <v>31</v>
      </c>
      <c r="M51" s="46" t="s">
        <v>39</v>
      </c>
      <c r="N51" s="46" t="s">
        <v>40</v>
      </c>
      <c r="O51" s="46" t="s">
        <v>41</v>
      </c>
      <c r="P51" s="46" t="s">
        <v>312</v>
      </c>
    </row>
    <row r="52" spans="3:16" x14ac:dyDescent="0.25">
      <c r="C52" s="46" t="s">
        <v>313</v>
      </c>
      <c r="D52" s="46" t="s">
        <v>314</v>
      </c>
      <c r="E52" s="46" t="s">
        <v>307</v>
      </c>
      <c r="F52" s="46" t="s">
        <v>45</v>
      </c>
      <c r="G52" s="46" t="s">
        <v>315</v>
      </c>
      <c r="H52" s="46" t="s">
        <v>316</v>
      </c>
      <c r="I52" s="46" t="s">
        <v>317</v>
      </c>
      <c r="J52" s="46" t="s">
        <v>311</v>
      </c>
      <c r="K52" s="46" t="s">
        <v>30</v>
      </c>
      <c r="L52" s="46" t="s">
        <v>31</v>
      </c>
      <c r="M52" s="46" t="s">
        <v>39</v>
      </c>
      <c r="N52" s="46" t="s">
        <v>40</v>
      </c>
      <c r="O52" s="46" t="s">
        <v>41</v>
      </c>
      <c r="P52" s="46" t="s">
        <v>312</v>
      </c>
    </row>
    <row r="53" spans="3:16" x14ac:dyDescent="0.25">
      <c r="C53" s="46" t="s">
        <v>318</v>
      </c>
      <c r="D53" s="46" t="s">
        <v>319</v>
      </c>
      <c r="E53" s="46" t="s">
        <v>307</v>
      </c>
      <c r="F53" s="46" t="s">
        <v>51</v>
      </c>
      <c r="G53" s="46" t="s">
        <v>320</v>
      </c>
      <c r="H53" s="46" t="s">
        <v>321</v>
      </c>
      <c r="I53" s="46" t="s">
        <v>322</v>
      </c>
      <c r="J53" s="46" t="s">
        <v>311</v>
      </c>
      <c r="K53" s="46" t="s">
        <v>30</v>
      </c>
      <c r="L53" s="46" t="s">
        <v>31</v>
      </c>
      <c r="M53" s="46" t="s">
        <v>39</v>
      </c>
      <c r="N53" s="46" t="s">
        <v>40</v>
      </c>
      <c r="O53" s="46" t="s">
        <v>41</v>
      </c>
      <c r="P53" s="46" t="s">
        <v>312</v>
      </c>
    </row>
    <row r="54" spans="3:16" x14ac:dyDescent="0.25">
      <c r="C54" s="46" t="s">
        <v>323</v>
      </c>
      <c r="D54" s="46" t="s">
        <v>324</v>
      </c>
      <c r="E54" s="46" t="s">
        <v>325</v>
      </c>
      <c r="F54" s="46" t="s">
        <v>29</v>
      </c>
      <c r="G54" s="46" t="s">
        <v>326</v>
      </c>
      <c r="H54" s="46" t="s">
        <v>327</v>
      </c>
      <c r="I54" s="46" t="s">
        <v>328</v>
      </c>
      <c r="J54" s="46" t="s">
        <v>329</v>
      </c>
      <c r="K54" s="46" t="s">
        <v>30</v>
      </c>
      <c r="L54" s="46" t="s">
        <v>31</v>
      </c>
      <c r="M54" s="46" t="s">
        <v>39</v>
      </c>
      <c r="N54" s="46" t="s">
        <v>40</v>
      </c>
      <c r="O54" s="46" t="s">
        <v>41</v>
      </c>
      <c r="P54" s="46" t="s">
        <v>330</v>
      </c>
    </row>
    <row r="55" spans="3:16" x14ac:dyDescent="0.25">
      <c r="C55" s="46" t="s">
        <v>331</v>
      </c>
      <c r="D55" s="46" t="s">
        <v>332</v>
      </c>
      <c r="E55" s="46" t="s">
        <v>325</v>
      </c>
      <c r="F55" s="46" t="s">
        <v>45</v>
      </c>
      <c r="G55" s="46" t="s">
        <v>333</v>
      </c>
      <c r="H55" s="46" t="s">
        <v>334</v>
      </c>
      <c r="I55" s="46" t="s">
        <v>335</v>
      </c>
      <c r="J55" s="46" t="s">
        <v>329</v>
      </c>
      <c r="K55" s="46" t="s">
        <v>30</v>
      </c>
      <c r="L55" s="46" t="s">
        <v>31</v>
      </c>
      <c r="M55" s="46" t="s">
        <v>39</v>
      </c>
      <c r="N55" s="46" t="s">
        <v>40</v>
      </c>
      <c r="O55" s="46" t="s">
        <v>41</v>
      </c>
      <c r="P55" s="46" t="s">
        <v>330</v>
      </c>
    </row>
    <row r="56" spans="3:16" x14ac:dyDescent="0.25">
      <c r="C56" s="46" t="s">
        <v>336</v>
      </c>
      <c r="D56" s="46" t="s">
        <v>337</v>
      </c>
      <c r="E56" s="46" t="s">
        <v>325</v>
      </c>
      <c r="F56" s="46" t="s">
        <v>51</v>
      </c>
      <c r="G56" s="46" t="s">
        <v>338</v>
      </c>
      <c r="H56" s="46" t="s">
        <v>339</v>
      </c>
      <c r="I56" s="46" t="s">
        <v>340</v>
      </c>
      <c r="J56" s="46" t="s">
        <v>329</v>
      </c>
      <c r="K56" s="46" t="s">
        <v>30</v>
      </c>
      <c r="L56" s="46" t="s">
        <v>31</v>
      </c>
      <c r="M56" s="46" t="s">
        <v>39</v>
      </c>
      <c r="N56" s="46" t="s">
        <v>40</v>
      </c>
      <c r="O56" s="46" t="s">
        <v>41</v>
      </c>
      <c r="P56" s="46" t="s">
        <v>330</v>
      </c>
    </row>
    <row r="57" spans="3:16" x14ac:dyDescent="0.25">
      <c r="C57" s="46" t="s">
        <v>341</v>
      </c>
      <c r="D57" s="46" t="s">
        <v>342</v>
      </c>
      <c r="E57" s="46" t="s">
        <v>343</v>
      </c>
      <c r="F57" s="46" t="s">
        <v>29</v>
      </c>
      <c r="G57" s="46" t="s">
        <v>344</v>
      </c>
      <c r="H57" s="46" t="s">
        <v>345</v>
      </c>
      <c r="I57" s="46" t="s">
        <v>346</v>
      </c>
      <c r="J57" s="46" t="s">
        <v>347</v>
      </c>
      <c r="K57" s="46" t="s">
        <v>30</v>
      </c>
      <c r="L57" s="46" t="s">
        <v>31</v>
      </c>
      <c r="M57" s="46" t="s">
        <v>39</v>
      </c>
      <c r="N57" s="46" t="s">
        <v>40</v>
      </c>
      <c r="O57" s="46" t="s">
        <v>41</v>
      </c>
      <c r="P57" s="46" t="s">
        <v>348</v>
      </c>
    </row>
    <row r="58" spans="3:16" x14ac:dyDescent="0.25">
      <c r="C58" s="46" t="s">
        <v>349</v>
      </c>
      <c r="D58" s="46" t="s">
        <v>350</v>
      </c>
      <c r="E58" s="46" t="s">
        <v>343</v>
      </c>
      <c r="F58" s="46" t="s">
        <v>45</v>
      </c>
      <c r="G58" s="46" t="s">
        <v>351</v>
      </c>
      <c r="H58" s="46" t="s">
        <v>352</v>
      </c>
      <c r="I58" s="46" t="s">
        <v>353</v>
      </c>
      <c r="J58" s="46" t="s">
        <v>347</v>
      </c>
      <c r="K58" s="46" t="s">
        <v>30</v>
      </c>
      <c r="L58" s="46" t="s">
        <v>31</v>
      </c>
      <c r="M58" s="46" t="s">
        <v>39</v>
      </c>
      <c r="N58" s="46" t="s">
        <v>40</v>
      </c>
      <c r="O58" s="46" t="s">
        <v>41</v>
      </c>
      <c r="P58" s="46" t="s">
        <v>348</v>
      </c>
    </row>
    <row r="59" spans="3:16" x14ac:dyDescent="0.25">
      <c r="C59" s="46" t="s">
        <v>354</v>
      </c>
      <c r="D59" s="46" t="s">
        <v>355</v>
      </c>
      <c r="E59" s="46" t="s">
        <v>343</v>
      </c>
      <c r="F59" s="46" t="s">
        <v>51</v>
      </c>
      <c r="G59" s="46" t="s">
        <v>356</v>
      </c>
      <c r="H59" s="46" t="s">
        <v>357</v>
      </c>
      <c r="I59" s="46" t="s">
        <v>358</v>
      </c>
      <c r="J59" s="46" t="s">
        <v>347</v>
      </c>
      <c r="K59" s="46" t="s">
        <v>30</v>
      </c>
      <c r="L59" s="46" t="s">
        <v>31</v>
      </c>
      <c r="M59" s="46" t="s">
        <v>39</v>
      </c>
      <c r="N59" s="46" t="s">
        <v>40</v>
      </c>
      <c r="O59" s="46" t="s">
        <v>41</v>
      </c>
      <c r="P59" s="46" t="s">
        <v>348</v>
      </c>
    </row>
    <row r="60" spans="3:16" x14ac:dyDescent="0.25">
      <c r="C60" s="46" t="s">
        <v>359</v>
      </c>
      <c r="D60" s="46" t="s">
        <v>360</v>
      </c>
      <c r="E60" s="46" t="s">
        <v>361</v>
      </c>
      <c r="F60" s="46" t="s">
        <v>29</v>
      </c>
      <c r="G60" s="46" t="s">
        <v>362</v>
      </c>
      <c r="H60" s="46" t="s">
        <v>363</v>
      </c>
      <c r="I60" s="46" t="s">
        <v>364</v>
      </c>
      <c r="J60" s="46" t="s">
        <v>365</v>
      </c>
      <c r="K60" s="46" t="s">
        <v>30</v>
      </c>
      <c r="L60" s="46" t="s">
        <v>31</v>
      </c>
      <c r="M60" s="46" t="s">
        <v>39</v>
      </c>
      <c r="N60" s="46" t="s">
        <v>40</v>
      </c>
      <c r="O60" s="46" t="s">
        <v>41</v>
      </c>
      <c r="P60" s="46" t="s">
        <v>366</v>
      </c>
    </row>
    <row r="61" spans="3:16" x14ac:dyDescent="0.25">
      <c r="C61" s="46" t="s">
        <v>367</v>
      </c>
      <c r="D61" s="46" t="s">
        <v>368</v>
      </c>
      <c r="E61" s="46" t="s">
        <v>361</v>
      </c>
      <c r="F61" s="46" t="s">
        <v>45</v>
      </c>
      <c r="G61" s="46" t="s">
        <v>369</v>
      </c>
      <c r="H61" s="46" t="s">
        <v>370</v>
      </c>
      <c r="I61" s="46" t="s">
        <v>371</v>
      </c>
      <c r="J61" s="46" t="s">
        <v>365</v>
      </c>
      <c r="K61" s="46" t="s">
        <v>30</v>
      </c>
      <c r="L61" s="46" t="s">
        <v>31</v>
      </c>
      <c r="M61" s="46" t="s">
        <v>39</v>
      </c>
      <c r="N61" s="46" t="s">
        <v>40</v>
      </c>
      <c r="O61" s="46" t="s">
        <v>41</v>
      </c>
      <c r="P61" s="46" t="s">
        <v>366</v>
      </c>
    </row>
    <row r="62" spans="3:16" x14ac:dyDescent="0.25">
      <c r="C62" s="46" t="s">
        <v>372</v>
      </c>
      <c r="D62" s="46" t="s">
        <v>373</v>
      </c>
      <c r="E62" s="46" t="s">
        <v>361</v>
      </c>
      <c r="F62" s="46" t="s">
        <v>51</v>
      </c>
      <c r="G62" s="46" t="s">
        <v>374</v>
      </c>
      <c r="H62" s="46" t="s">
        <v>375</v>
      </c>
      <c r="I62" s="46" t="s">
        <v>376</v>
      </c>
      <c r="J62" s="46" t="s">
        <v>365</v>
      </c>
      <c r="K62" s="46" t="s">
        <v>30</v>
      </c>
      <c r="L62" s="46" t="s">
        <v>31</v>
      </c>
      <c r="M62" s="46" t="s">
        <v>39</v>
      </c>
      <c r="N62" s="46" t="s">
        <v>40</v>
      </c>
      <c r="O62" s="46" t="s">
        <v>41</v>
      </c>
      <c r="P62" s="46" t="s">
        <v>366</v>
      </c>
    </row>
    <row r="63" spans="3:16" x14ac:dyDescent="0.25">
      <c r="C63" s="46" t="s">
        <v>377</v>
      </c>
      <c r="D63" s="46" t="s">
        <v>378</v>
      </c>
      <c r="E63" s="46" t="s">
        <v>379</v>
      </c>
      <c r="F63" s="46" t="s">
        <v>29</v>
      </c>
      <c r="G63" s="46" t="s">
        <v>380</v>
      </c>
      <c r="H63" s="46" t="s">
        <v>381</v>
      </c>
      <c r="I63" s="46" t="s">
        <v>382</v>
      </c>
      <c r="J63" s="46" t="s">
        <v>383</v>
      </c>
      <c r="K63" s="46" t="s">
        <v>30</v>
      </c>
      <c r="L63" s="46" t="s">
        <v>31</v>
      </c>
      <c r="M63" s="46" t="s">
        <v>39</v>
      </c>
      <c r="N63" s="46" t="s">
        <v>40</v>
      </c>
      <c r="O63" s="46" t="s">
        <v>41</v>
      </c>
      <c r="P63" s="46" t="s">
        <v>384</v>
      </c>
    </row>
    <row r="64" spans="3:16" x14ac:dyDescent="0.25">
      <c r="C64" s="46" t="s">
        <v>385</v>
      </c>
      <c r="D64" s="46" t="s">
        <v>386</v>
      </c>
      <c r="E64" s="46" t="s">
        <v>379</v>
      </c>
      <c r="F64" s="46" t="s">
        <v>45</v>
      </c>
      <c r="G64" s="46" t="s">
        <v>387</v>
      </c>
      <c r="H64" s="46" t="s">
        <v>388</v>
      </c>
      <c r="I64" s="46" t="s">
        <v>389</v>
      </c>
      <c r="J64" s="46" t="s">
        <v>383</v>
      </c>
      <c r="K64" s="46" t="s">
        <v>30</v>
      </c>
      <c r="L64" s="46" t="s">
        <v>31</v>
      </c>
      <c r="M64" s="46" t="s">
        <v>39</v>
      </c>
      <c r="N64" s="46" t="s">
        <v>40</v>
      </c>
      <c r="O64" s="46" t="s">
        <v>41</v>
      </c>
      <c r="P64" s="46" t="s">
        <v>384</v>
      </c>
    </row>
    <row r="65" spans="3:16" x14ac:dyDescent="0.25">
      <c r="C65" s="46" t="s">
        <v>390</v>
      </c>
      <c r="D65" s="46" t="s">
        <v>391</v>
      </c>
      <c r="E65" s="46" t="s">
        <v>379</v>
      </c>
      <c r="F65" s="46" t="s">
        <v>51</v>
      </c>
      <c r="G65" s="46" t="s">
        <v>392</v>
      </c>
      <c r="H65" s="46" t="s">
        <v>393</v>
      </c>
      <c r="I65" s="46" t="s">
        <v>394</v>
      </c>
      <c r="J65" s="46" t="s">
        <v>383</v>
      </c>
      <c r="K65" s="46" t="s">
        <v>30</v>
      </c>
      <c r="L65" s="46" t="s">
        <v>31</v>
      </c>
      <c r="M65" s="46" t="s">
        <v>39</v>
      </c>
      <c r="N65" s="46" t="s">
        <v>40</v>
      </c>
      <c r="O65" s="46" t="s">
        <v>41</v>
      </c>
      <c r="P65" s="46" t="s">
        <v>384</v>
      </c>
    </row>
    <row r="66" spans="3:16" x14ac:dyDescent="0.25">
      <c r="C66" s="46" t="s">
        <v>395</v>
      </c>
      <c r="D66" s="46" t="s">
        <v>396</v>
      </c>
      <c r="E66" s="46" t="s">
        <v>397</v>
      </c>
      <c r="F66" s="46" t="s">
        <v>29</v>
      </c>
      <c r="G66" s="46" t="s">
        <v>398</v>
      </c>
      <c r="H66" s="46" t="s">
        <v>399</v>
      </c>
      <c r="I66" s="46" t="s">
        <v>400</v>
      </c>
      <c r="J66" s="46" t="s">
        <v>401</v>
      </c>
      <c r="K66" s="46" t="s">
        <v>30</v>
      </c>
      <c r="L66" s="46" t="s">
        <v>31</v>
      </c>
      <c r="M66" s="46" t="s">
        <v>39</v>
      </c>
      <c r="N66" s="46" t="s">
        <v>40</v>
      </c>
      <c r="O66" s="46" t="s">
        <v>41</v>
      </c>
      <c r="P66" s="46" t="s">
        <v>402</v>
      </c>
    </row>
    <row r="67" spans="3:16" x14ac:dyDescent="0.25">
      <c r="C67" s="46" t="s">
        <v>403</v>
      </c>
      <c r="D67" s="46" t="s">
        <v>404</v>
      </c>
      <c r="E67" s="46" t="s">
        <v>397</v>
      </c>
      <c r="F67" s="46" t="s">
        <v>45</v>
      </c>
      <c r="G67" s="46" t="s">
        <v>405</v>
      </c>
      <c r="H67" s="46" t="s">
        <v>406</v>
      </c>
      <c r="I67" s="46" t="s">
        <v>407</v>
      </c>
      <c r="J67" s="46" t="s">
        <v>401</v>
      </c>
      <c r="K67" s="46" t="s">
        <v>30</v>
      </c>
      <c r="L67" s="46" t="s">
        <v>31</v>
      </c>
      <c r="M67" s="46" t="s">
        <v>39</v>
      </c>
      <c r="N67" s="46" t="s">
        <v>40</v>
      </c>
      <c r="O67" s="46" t="s">
        <v>41</v>
      </c>
      <c r="P67" s="46" t="s">
        <v>402</v>
      </c>
    </row>
    <row r="68" spans="3:16" x14ac:dyDescent="0.25">
      <c r="C68" s="46" t="s">
        <v>408</v>
      </c>
      <c r="D68" s="46" t="s">
        <v>409</v>
      </c>
      <c r="E68" s="46" t="s">
        <v>397</v>
      </c>
      <c r="F68" s="46" t="s">
        <v>51</v>
      </c>
      <c r="G68" s="46" t="s">
        <v>410</v>
      </c>
      <c r="H68" s="46" t="s">
        <v>411</v>
      </c>
      <c r="I68" s="46" t="s">
        <v>412</v>
      </c>
      <c r="J68" s="46" t="s">
        <v>401</v>
      </c>
      <c r="K68" s="46" t="s">
        <v>30</v>
      </c>
      <c r="L68" s="46" t="s">
        <v>31</v>
      </c>
      <c r="M68" s="46" t="s">
        <v>39</v>
      </c>
      <c r="N68" s="46" t="s">
        <v>40</v>
      </c>
      <c r="O68" s="46" t="s">
        <v>41</v>
      </c>
      <c r="P68" s="46" t="s">
        <v>402</v>
      </c>
    </row>
    <row r="69" spans="3:16" x14ac:dyDescent="0.25">
      <c r="C69" s="46" t="s">
        <v>413</v>
      </c>
      <c r="D69" s="46" t="s">
        <v>414</v>
      </c>
      <c r="E69" s="46" t="s">
        <v>415</v>
      </c>
      <c r="F69" s="46" t="s">
        <v>29</v>
      </c>
      <c r="G69" s="46" t="s">
        <v>416</v>
      </c>
      <c r="H69" s="46" t="s">
        <v>417</v>
      </c>
      <c r="I69" s="46" t="s">
        <v>418</v>
      </c>
      <c r="J69" s="46" t="s">
        <v>419</v>
      </c>
      <c r="K69" s="46" t="s">
        <v>30</v>
      </c>
      <c r="L69" s="46" t="s">
        <v>31</v>
      </c>
      <c r="M69" s="46" t="s">
        <v>39</v>
      </c>
      <c r="N69" s="46" t="s">
        <v>40</v>
      </c>
      <c r="O69" s="46" t="s">
        <v>41</v>
      </c>
      <c r="P69" s="46" t="s">
        <v>420</v>
      </c>
    </row>
    <row r="70" spans="3:16" x14ac:dyDescent="0.25">
      <c r="C70" s="46" t="s">
        <v>421</v>
      </c>
      <c r="D70" s="46" t="s">
        <v>422</v>
      </c>
      <c r="E70" s="46" t="s">
        <v>415</v>
      </c>
      <c r="F70" s="46" t="s">
        <v>45</v>
      </c>
      <c r="G70" s="46" t="s">
        <v>423</v>
      </c>
      <c r="H70" s="46" t="s">
        <v>424</v>
      </c>
      <c r="I70" s="46" t="s">
        <v>425</v>
      </c>
      <c r="J70" s="46" t="s">
        <v>419</v>
      </c>
      <c r="K70" s="46" t="s">
        <v>30</v>
      </c>
      <c r="L70" s="46" t="s">
        <v>31</v>
      </c>
      <c r="M70" s="46" t="s">
        <v>39</v>
      </c>
      <c r="N70" s="46" t="s">
        <v>40</v>
      </c>
      <c r="O70" s="46" t="s">
        <v>41</v>
      </c>
      <c r="P70" s="46" t="s">
        <v>420</v>
      </c>
    </row>
    <row r="71" spans="3:16" x14ac:dyDescent="0.25">
      <c r="C71" s="46" t="s">
        <v>426</v>
      </c>
      <c r="D71" s="46" t="s">
        <v>427</v>
      </c>
      <c r="E71" s="46" t="s">
        <v>415</v>
      </c>
      <c r="F71" s="46" t="s">
        <v>51</v>
      </c>
      <c r="G71" s="46" t="s">
        <v>428</v>
      </c>
      <c r="H71" s="46" t="s">
        <v>429</v>
      </c>
      <c r="I71" s="46" t="s">
        <v>430</v>
      </c>
      <c r="J71" s="46" t="s">
        <v>419</v>
      </c>
      <c r="K71" s="46" t="s">
        <v>30</v>
      </c>
      <c r="L71" s="46" t="s">
        <v>31</v>
      </c>
      <c r="M71" s="46" t="s">
        <v>39</v>
      </c>
      <c r="N71" s="46" t="s">
        <v>40</v>
      </c>
      <c r="O71" s="46" t="s">
        <v>41</v>
      </c>
      <c r="P71" s="46" t="s">
        <v>420</v>
      </c>
    </row>
    <row r="72" spans="3:16" x14ac:dyDescent="0.25">
      <c r="C72" s="46" t="s">
        <v>431</v>
      </c>
      <c r="D72" s="46" t="s">
        <v>432</v>
      </c>
      <c r="E72" s="46" t="s">
        <v>433</v>
      </c>
      <c r="F72" s="46" t="s">
        <v>29</v>
      </c>
      <c r="G72" s="46" t="s">
        <v>434</v>
      </c>
      <c r="H72" s="46" t="s">
        <v>435</v>
      </c>
      <c r="I72" s="46" t="s">
        <v>436</v>
      </c>
      <c r="J72" s="46" t="s">
        <v>437</v>
      </c>
      <c r="K72" s="46" t="s">
        <v>30</v>
      </c>
      <c r="L72" s="46" t="s">
        <v>31</v>
      </c>
      <c r="M72" s="46" t="s">
        <v>39</v>
      </c>
      <c r="N72" s="46" t="s">
        <v>40</v>
      </c>
      <c r="O72" s="46" t="s">
        <v>41</v>
      </c>
      <c r="P72" s="46" t="s">
        <v>438</v>
      </c>
    </row>
    <row r="73" spans="3:16" x14ac:dyDescent="0.25">
      <c r="C73" s="46" t="s">
        <v>439</v>
      </c>
      <c r="D73" s="46" t="s">
        <v>440</v>
      </c>
      <c r="E73" s="46" t="s">
        <v>433</v>
      </c>
      <c r="F73" s="46" t="s">
        <v>45</v>
      </c>
      <c r="G73" s="46" t="s">
        <v>441</v>
      </c>
      <c r="H73" s="46" t="s">
        <v>442</v>
      </c>
      <c r="I73" s="46" t="s">
        <v>443</v>
      </c>
      <c r="J73" s="46" t="s">
        <v>437</v>
      </c>
      <c r="K73" s="46" t="s">
        <v>30</v>
      </c>
      <c r="L73" s="46" t="s">
        <v>31</v>
      </c>
      <c r="M73" s="46" t="s">
        <v>39</v>
      </c>
      <c r="N73" s="46" t="s">
        <v>40</v>
      </c>
      <c r="O73" s="46" t="s">
        <v>41</v>
      </c>
      <c r="P73" s="46" t="s">
        <v>438</v>
      </c>
    </row>
    <row r="74" spans="3:16" x14ac:dyDescent="0.25">
      <c r="C74" s="46" t="s">
        <v>444</v>
      </c>
      <c r="D74" s="46" t="s">
        <v>445</v>
      </c>
      <c r="E74" s="46" t="s">
        <v>433</v>
      </c>
      <c r="F74" s="46" t="s">
        <v>51</v>
      </c>
      <c r="G74" s="46" t="s">
        <v>446</v>
      </c>
      <c r="H74" s="46" t="s">
        <v>447</v>
      </c>
      <c r="I74" s="46" t="s">
        <v>448</v>
      </c>
      <c r="J74" s="46" t="s">
        <v>437</v>
      </c>
      <c r="K74" s="46" t="s">
        <v>30</v>
      </c>
      <c r="L74" s="46" t="s">
        <v>31</v>
      </c>
      <c r="M74" s="46" t="s">
        <v>39</v>
      </c>
      <c r="N74" s="46" t="s">
        <v>40</v>
      </c>
      <c r="O74" s="46" t="s">
        <v>41</v>
      </c>
      <c r="P74" s="46" t="s">
        <v>438</v>
      </c>
    </row>
    <row r="75" spans="3:16" x14ac:dyDescent="0.25">
      <c r="C75" s="46" t="s">
        <v>449</v>
      </c>
      <c r="D75" s="46" t="s">
        <v>450</v>
      </c>
      <c r="E75" s="46" t="s">
        <v>451</v>
      </c>
      <c r="F75" s="46" t="s">
        <v>29</v>
      </c>
      <c r="G75" s="46" t="s">
        <v>452</v>
      </c>
      <c r="H75" s="46" t="s">
        <v>453</v>
      </c>
      <c r="I75" s="46" t="s">
        <v>454</v>
      </c>
      <c r="J75" s="46" t="s">
        <v>455</v>
      </c>
      <c r="K75" s="46" t="s">
        <v>30</v>
      </c>
      <c r="L75" s="46" t="s">
        <v>31</v>
      </c>
      <c r="M75" s="46" t="s">
        <v>39</v>
      </c>
      <c r="N75" s="46" t="s">
        <v>40</v>
      </c>
      <c r="O75" s="46" t="s">
        <v>41</v>
      </c>
      <c r="P75" s="46" t="s">
        <v>456</v>
      </c>
    </row>
    <row r="76" spans="3:16" x14ac:dyDescent="0.25">
      <c r="C76" s="46" t="s">
        <v>457</v>
      </c>
      <c r="D76" s="46" t="s">
        <v>458</v>
      </c>
      <c r="E76" s="46" t="s">
        <v>451</v>
      </c>
      <c r="F76" s="46" t="s">
        <v>45</v>
      </c>
      <c r="G76" s="46" t="s">
        <v>459</v>
      </c>
      <c r="H76" s="46" t="s">
        <v>460</v>
      </c>
      <c r="I76" s="46" t="s">
        <v>461</v>
      </c>
      <c r="J76" s="46" t="s">
        <v>455</v>
      </c>
      <c r="K76" s="46" t="s">
        <v>30</v>
      </c>
      <c r="L76" s="46" t="s">
        <v>31</v>
      </c>
      <c r="M76" s="46" t="s">
        <v>39</v>
      </c>
      <c r="N76" s="46" t="s">
        <v>40</v>
      </c>
      <c r="O76" s="46" t="s">
        <v>41</v>
      </c>
      <c r="P76" s="46" t="s">
        <v>456</v>
      </c>
    </row>
    <row r="77" spans="3:16" x14ac:dyDescent="0.25">
      <c r="C77" s="46" t="s">
        <v>462</v>
      </c>
      <c r="D77" s="46" t="s">
        <v>463</v>
      </c>
      <c r="E77" s="46" t="s">
        <v>451</v>
      </c>
      <c r="F77" s="46" t="s">
        <v>51</v>
      </c>
      <c r="G77" s="46" t="s">
        <v>464</v>
      </c>
      <c r="H77" s="46" t="s">
        <v>465</v>
      </c>
      <c r="I77" s="46" t="s">
        <v>466</v>
      </c>
      <c r="J77" s="46" t="s">
        <v>455</v>
      </c>
      <c r="K77" s="46" t="s">
        <v>30</v>
      </c>
      <c r="L77" s="46" t="s">
        <v>31</v>
      </c>
      <c r="M77" s="46" t="s">
        <v>39</v>
      </c>
      <c r="N77" s="46" t="s">
        <v>40</v>
      </c>
      <c r="O77" s="46" t="s">
        <v>41</v>
      </c>
      <c r="P77" s="46" t="s">
        <v>456</v>
      </c>
    </row>
    <row r="78" spans="3:16" x14ac:dyDescent="0.25">
      <c r="C78" s="46" t="s">
        <v>467</v>
      </c>
      <c r="D78" s="46" t="s">
        <v>468</v>
      </c>
      <c r="E78" s="46" t="s">
        <v>469</v>
      </c>
      <c r="F78" s="46" t="s">
        <v>29</v>
      </c>
      <c r="G78" s="46" t="s">
        <v>470</v>
      </c>
      <c r="H78" s="46" t="s">
        <v>471</v>
      </c>
      <c r="I78" s="46" t="s">
        <v>472</v>
      </c>
      <c r="J78" s="46" t="s">
        <v>473</v>
      </c>
      <c r="K78" s="46" t="s">
        <v>30</v>
      </c>
      <c r="L78" s="46" t="s">
        <v>31</v>
      </c>
      <c r="M78" s="46" t="s">
        <v>39</v>
      </c>
      <c r="N78" s="46" t="s">
        <v>40</v>
      </c>
      <c r="O78" s="46" t="s">
        <v>41</v>
      </c>
      <c r="P78" s="46" t="s">
        <v>474</v>
      </c>
    </row>
    <row r="79" spans="3:16" x14ac:dyDescent="0.25">
      <c r="C79" s="46" t="s">
        <v>475</v>
      </c>
      <c r="D79" s="46" t="s">
        <v>476</v>
      </c>
      <c r="E79" s="46" t="s">
        <v>469</v>
      </c>
      <c r="F79" s="46" t="s">
        <v>45</v>
      </c>
      <c r="G79" s="46" t="s">
        <v>477</v>
      </c>
      <c r="H79" s="46" t="s">
        <v>478</v>
      </c>
      <c r="I79" s="46" t="s">
        <v>479</v>
      </c>
      <c r="J79" s="46" t="s">
        <v>473</v>
      </c>
      <c r="K79" s="46" t="s">
        <v>30</v>
      </c>
      <c r="L79" s="46" t="s">
        <v>31</v>
      </c>
      <c r="M79" s="46" t="s">
        <v>39</v>
      </c>
      <c r="N79" s="46" t="s">
        <v>40</v>
      </c>
      <c r="O79" s="46" t="s">
        <v>41</v>
      </c>
      <c r="P79" s="46" t="s">
        <v>474</v>
      </c>
    </row>
    <row r="80" spans="3:16" x14ac:dyDescent="0.25">
      <c r="C80" s="46" t="s">
        <v>480</v>
      </c>
      <c r="D80" s="46" t="s">
        <v>481</v>
      </c>
      <c r="E80" s="46" t="s">
        <v>469</v>
      </c>
      <c r="F80" s="46" t="s">
        <v>51</v>
      </c>
      <c r="G80" s="46" t="s">
        <v>482</v>
      </c>
      <c r="H80" s="46" t="s">
        <v>483</v>
      </c>
      <c r="I80" s="46" t="s">
        <v>484</v>
      </c>
      <c r="J80" s="46" t="s">
        <v>473</v>
      </c>
      <c r="K80" s="46" t="s">
        <v>30</v>
      </c>
      <c r="L80" s="46" t="s">
        <v>31</v>
      </c>
      <c r="M80" s="46" t="s">
        <v>39</v>
      </c>
      <c r="N80" s="46" t="s">
        <v>40</v>
      </c>
      <c r="O80" s="46" t="s">
        <v>41</v>
      </c>
      <c r="P80" s="46" t="s">
        <v>474</v>
      </c>
    </row>
    <row r="81" spans="3:16" x14ac:dyDescent="0.25">
      <c r="C81" s="46" t="s">
        <v>485</v>
      </c>
      <c r="D81" s="46" t="s">
        <v>486</v>
      </c>
      <c r="E81" s="46" t="s">
        <v>487</v>
      </c>
      <c r="F81" s="46" t="s">
        <v>29</v>
      </c>
      <c r="G81" s="46" t="s">
        <v>488</v>
      </c>
      <c r="H81" s="46" t="s">
        <v>489</v>
      </c>
      <c r="I81" s="46" t="s">
        <v>490</v>
      </c>
      <c r="J81" s="46" t="s">
        <v>491</v>
      </c>
      <c r="K81" s="46" t="s">
        <v>30</v>
      </c>
      <c r="L81" s="46" t="s">
        <v>31</v>
      </c>
      <c r="M81" s="46" t="s">
        <v>39</v>
      </c>
      <c r="N81" s="46" t="s">
        <v>40</v>
      </c>
      <c r="O81" s="46" t="s">
        <v>41</v>
      </c>
      <c r="P81" s="46" t="s">
        <v>492</v>
      </c>
    </row>
    <row r="82" spans="3:16" x14ac:dyDescent="0.25">
      <c r="C82" s="46" t="s">
        <v>493</v>
      </c>
      <c r="D82" s="46" t="s">
        <v>494</v>
      </c>
      <c r="E82" s="46" t="s">
        <v>487</v>
      </c>
      <c r="F82" s="46" t="s">
        <v>45</v>
      </c>
      <c r="G82" s="46" t="s">
        <v>495</v>
      </c>
      <c r="H82" s="46" t="s">
        <v>496</v>
      </c>
      <c r="I82" s="46" t="s">
        <v>497</v>
      </c>
      <c r="J82" s="46" t="s">
        <v>491</v>
      </c>
      <c r="K82" s="46" t="s">
        <v>30</v>
      </c>
      <c r="L82" s="46" t="s">
        <v>31</v>
      </c>
      <c r="M82" s="46" t="s">
        <v>39</v>
      </c>
      <c r="N82" s="46" t="s">
        <v>40</v>
      </c>
      <c r="O82" s="46" t="s">
        <v>41</v>
      </c>
      <c r="P82" s="46" t="s">
        <v>492</v>
      </c>
    </row>
    <row r="83" spans="3:16" x14ac:dyDescent="0.25">
      <c r="C83" s="46" t="s">
        <v>498</v>
      </c>
      <c r="D83" s="46" t="s">
        <v>499</v>
      </c>
      <c r="E83" s="46" t="s">
        <v>487</v>
      </c>
      <c r="F83" s="46" t="s">
        <v>51</v>
      </c>
      <c r="G83" s="46" t="s">
        <v>500</v>
      </c>
      <c r="H83" s="46" t="s">
        <v>501</v>
      </c>
      <c r="I83" s="46" t="s">
        <v>502</v>
      </c>
      <c r="J83" s="46" t="s">
        <v>491</v>
      </c>
      <c r="K83" s="46" t="s">
        <v>30</v>
      </c>
      <c r="L83" s="46" t="s">
        <v>31</v>
      </c>
      <c r="M83" s="46" t="s">
        <v>39</v>
      </c>
      <c r="N83" s="46" t="s">
        <v>40</v>
      </c>
      <c r="O83" s="46" t="s">
        <v>41</v>
      </c>
      <c r="P83" s="46" t="s">
        <v>492</v>
      </c>
    </row>
    <row r="84" spans="3:16" x14ac:dyDescent="0.25">
      <c r="C84" s="46" t="s">
        <v>503</v>
      </c>
      <c r="D84" s="46" t="s">
        <v>504</v>
      </c>
      <c r="E84" s="46" t="s">
        <v>505</v>
      </c>
      <c r="F84" s="46" t="s">
        <v>29</v>
      </c>
      <c r="G84" s="46" t="s">
        <v>506</v>
      </c>
      <c r="H84" s="46" t="s">
        <v>507</v>
      </c>
      <c r="I84" s="46" t="s">
        <v>508</v>
      </c>
      <c r="J84" s="46" t="s">
        <v>509</v>
      </c>
      <c r="K84" s="46" t="s">
        <v>30</v>
      </c>
      <c r="L84" s="46" t="s">
        <v>31</v>
      </c>
      <c r="M84" s="46" t="s">
        <v>39</v>
      </c>
      <c r="N84" s="46" t="s">
        <v>40</v>
      </c>
      <c r="O84" s="46" t="s">
        <v>41</v>
      </c>
      <c r="P84" s="46" t="s">
        <v>510</v>
      </c>
    </row>
    <row r="85" spans="3:16" x14ac:dyDescent="0.25">
      <c r="C85" s="46" t="s">
        <v>511</v>
      </c>
      <c r="D85" s="46" t="s">
        <v>512</v>
      </c>
      <c r="E85" s="46" t="s">
        <v>505</v>
      </c>
      <c r="F85" s="46" t="s">
        <v>45</v>
      </c>
      <c r="G85" s="46" t="s">
        <v>513</v>
      </c>
      <c r="H85" s="46" t="s">
        <v>514</v>
      </c>
      <c r="I85" s="46" t="s">
        <v>515</v>
      </c>
      <c r="J85" s="46" t="s">
        <v>509</v>
      </c>
      <c r="K85" s="46" t="s">
        <v>30</v>
      </c>
      <c r="L85" s="46" t="s">
        <v>31</v>
      </c>
      <c r="M85" s="46" t="s">
        <v>39</v>
      </c>
      <c r="N85" s="46" t="s">
        <v>40</v>
      </c>
      <c r="O85" s="46" t="s">
        <v>41</v>
      </c>
      <c r="P85" s="46" t="s">
        <v>510</v>
      </c>
    </row>
    <row r="86" spans="3:16" x14ac:dyDescent="0.25">
      <c r="C86" s="46" t="s">
        <v>516</v>
      </c>
      <c r="D86" s="46" t="s">
        <v>517</v>
      </c>
      <c r="E86" s="46" t="s">
        <v>505</v>
      </c>
      <c r="F86" s="46" t="s">
        <v>51</v>
      </c>
      <c r="G86" s="46" t="s">
        <v>518</v>
      </c>
      <c r="H86" s="46" t="s">
        <v>519</v>
      </c>
      <c r="I86" s="46" t="s">
        <v>520</v>
      </c>
      <c r="J86" s="46" t="s">
        <v>509</v>
      </c>
      <c r="K86" s="46" t="s">
        <v>30</v>
      </c>
      <c r="L86" s="46" t="s">
        <v>31</v>
      </c>
      <c r="M86" s="46" t="s">
        <v>39</v>
      </c>
      <c r="N86" s="46" t="s">
        <v>40</v>
      </c>
      <c r="O86" s="46" t="s">
        <v>41</v>
      </c>
      <c r="P86" s="46" t="s">
        <v>510</v>
      </c>
    </row>
    <row r="87" spans="3:16" x14ac:dyDescent="0.25">
      <c r="C87" s="46" t="s">
        <v>521</v>
      </c>
      <c r="D87" s="46" t="s">
        <v>522</v>
      </c>
      <c r="E87" s="46" t="s">
        <v>523</v>
      </c>
      <c r="F87" s="46" t="s">
        <v>29</v>
      </c>
      <c r="G87" s="46" t="s">
        <v>524</v>
      </c>
      <c r="H87" s="46" t="s">
        <v>525</v>
      </c>
      <c r="I87" s="46" t="s">
        <v>526</v>
      </c>
      <c r="J87" s="46" t="s">
        <v>527</v>
      </c>
      <c r="K87" s="46" t="s">
        <v>30</v>
      </c>
      <c r="L87" s="46" t="s">
        <v>31</v>
      </c>
      <c r="M87" s="46" t="s">
        <v>39</v>
      </c>
      <c r="N87" s="46" t="s">
        <v>40</v>
      </c>
      <c r="O87" s="46" t="s">
        <v>41</v>
      </c>
      <c r="P87" s="46" t="s">
        <v>528</v>
      </c>
    </row>
    <row r="88" spans="3:16" x14ac:dyDescent="0.25">
      <c r="C88" s="46" t="s">
        <v>529</v>
      </c>
      <c r="D88" s="46" t="s">
        <v>530</v>
      </c>
      <c r="E88" s="46" t="s">
        <v>523</v>
      </c>
      <c r="F88" s="46" t="s">
        <v>45</v>
      </c>
      <c r="G88" s="46" t="s">
        <v>531</v>
      </c>
      <c r="H88" s="46" t="s">
        <v>532</v>
      </c>
      <c r="I88" s="46" t="s">
        <v>533</v>
      </c>
      <c r="J88" s="46" t="s">
        <v>527</v>
      </c>
      <c r="K88" s="46" t="s">
        <v>30</v>
      </c>
      <c r="L88" s="46" t="s">
        <v>31</v>
      </c>
      <c r="M88" s="46" t="s">
        <v>39</v>
      </c>
      <c r="N88" s="46" t="s">
        <v>40</v>
      </c>
      <c r="O88" s="46" t="s">
        <v>41</v>
      </c>
      <c r="P88" s="46" t="s">
        <v>528</v>
      </c>
    </row>
    <row r="89" spans="3:16" x14ac:dyDescent="0.25">
      <c r="C89" s="46" t="s">
        <v>534</v>
      </c>
      <c r="D89" s="46" t="s">
        <v>535</v>
      </c>
      <c r="E89" s="46" t="s">
        <v>523</v>
      </c>
      <c r="F89" s="46" t="s">
        <v>51</v>
      </c>
      <c r="G89" s="46" t="s">
        <v>536</v>
      </c>
      <c r="H89" s="46" t="s">
        <v>537</v>
      </c>
      <c r="I89" s="46" t="s">
        <v>538</v>
      </c>
      <c r="J89" s="46" t="s">
        <v>527</v>
      </c>
      <c r="K89" s="46" t="s">
        <v>30</v>
      </c>
      <c r="L89" s="46" t="s">
        <v>31</v>
      </c>
      <c r="M89" s="46" t="s">
        <v>39</v>
      </c>
      <c r="N89" s="46" t="s">
        <v>40</v>
      </c>
      <c r="O89" s="46" t="s">
        <v>41</v>
      </c>
      <c r="P89" s="46" t="s">
        <v>528</v>
      </c>
    </row>
    <row r="90" spans="3:16" x14ac:dyDescent="0.25">
      <c r="C90" s="46" t="s">
        <v>539</v>
      </c>
      <c r="D90" s="46" t="s">
        <v>540</v>
      </c>
      <c r="E90" s="46" t="s">
        <v>541</v>
      </c>
      <c r="F90" s="46" t="s">
        <v>29</v>
      </c>
      <c r="G90" s="46" t="s">
        <v>542</v>
      </c>
      <c r="H90" s="46" t="s">
        <v>543</v>
      </c>
      <c r="I90" s="46" t="s">
        <v>544</v>
      </c>
      <c r="J90" s="46" t="s">
        <v>545</v>
      </c>
      <c r="K90" s="46" t="s">
        <v>30</v>
      </c>
      <c r="L90" s="46" t="s">
        <v>31</v>
      </c>
      <c r="M90" s="46" t="s">
        <v>39</v>
      </c>
      <c r="N90" s="46" t="s">
        <v>40</v>
      </c>
      <c r="O90" s="46" t="s">
        <v>41</v>
      </c>
      <c r="P90" s="46" t="s">
        <v>546</v>
      </c>
    </row>
    <row r="91" spans="3:16" x14ac:dyDescent="0.25">
      <c r="C91" s="46" t="s">
        <v>547</v>
      </c>
      <c r="D91" s="46" t="s">
        <v>548</v>
      </c>
      <c r="E91" s="46" t="s">
        <v>541</v>
      </c>
      <c r="F91" s="46" t="s">
        <v>45</v>
      </c>
      <c r="G91" s="46" t="s">
        <v>549</v>
      </c>
      <c r="H91" s="46" t="s">
        <v>550</v>
      </c>
      <c r="I91" s="46" t="s">
        <v>551</v>
      </c>
      <c r="J91" s="46" t="s">
        <v>545</v>
      </c>
      <c r="K91" s="46" t="s">
        <v>30</v>
      </c>
      <c r="L91" s="46" t="s">
        <v>31</v>
      </c>
      <c r="M91" s="46" t="s">
        <v>39</v>
      </c>
      <c r="N91" s="46" t="s">
        <v>40</v>
      </c>
      <c r="O91" s="46" t="s">
        <v>41</v>
      </c>
      <c r="P91" s="46" t="s">
        <v>546</v>
      </c>
    </row>
    <row r="92" spans="3:16" x14ac:dyDescent="0.25">
      <c r="C92" s="46" t="s">
        <v>552</v>
      </c>
      <c r="D92" s="46" t="s">
        <v>553</v>
      </c>
      <c r="E92" s="46" t="s">
        <v>541</v>
      </c>
      <c r="F92" s="46" t="s">
        <v>51</v>
      </c>
      <c r="G92" s="46" t="s">
        <v>554</v>
      </c>
      <c r="H92" s="46" t="s">
        <v>555</v>
      </c>
      <c r="I92" s="46" t="s">
        <v>556</v>
      </c>
      <c r="J92" s="46" t="s">
        <v>545</v>
      </c>
      <c r="K92" s="46" t="s">
        <v>30</v>
      </c>
      <c r="L92" s="46" t="s">
        <v>31</v>
      </c>
      <c r="M92" s="46" t="s">
        <v>39</v>
      </c>
      <c r="N92" s="46" t="s">
        <v>40</v>
      </c>
      <c r="O92" s="46" t="s">
        <v>41</v>
      </c>
      <c r="P92" s="46" t="s">
        <v>546</v>
      </c>
    </row>
    <row r="93" spans="3:16" x14ac:dyDescent="0.25">
      <c r="C93" s="46" t="s">
        <v>557</v>
      </c>
      <c r="D93" s="46" t="s">
        <v>558</v>
      </c>
      <c r="E93" s="46" t="s">
        <v>559</v>
      </c>
      <c r="F93" s="46" t="s">
        <v>29</v>
      </c>
      <c r="G93" s="46" t="s">
        <v>560</v>
      </c>
      <c r="H93" s="46" t="s">
        <v>561</v>
      </c>
      <c r="I93" s="46" t="s">
        <v>562</v>
      </c>
      <c r="J93" s="46" t="s">
        <v>563</v>
      </c>
      <c r="K93" s="46" t="s">
        <v>30</v>
      </c>
      <c r="L93" s="46" t="s">
        <v>31</v>
      </c>
      <c r="M93" s="46" t="s">
        <v>39</v>
      </c>
      <c r="N93" s="46" t="s">
        <v>40</v>
      </c>
      <c r="O93" s="46" t="s">
        <v>41</v>
      </c>
      <c r="P93" s="46" t="s">
        <v>564</v>
      </c>
    </row>
    <row r="94" spans="3:16" x14ac:dyDescent="0.25">
      <c r="C94" s="46" t="s">
        <v>565</v>
      </c>
      <c r="D94" s="46" t="s">
        <v>566</v>
      </c>
      <c r="E94" s="46" t="s">
        <v>559</v>
      </c>
      <c r="F94" s="46" t="s">
        <v>45</v>
      </c>
      <c r="G94" s="46" t="s">
        <v>567</v>
      </c>
      <c r="H94" s="46" t="s">
        <v>568</v>
      </c>
      <c r="I94" s="46" t="s">
        <v>569</v>
      </c>
      <c r="J94" s="46" t="s">
        <v>563</v>
      </c>
      <c r="K94" s="46" t="s">
        <v>30</v>
      </c>
      <c r="L94" s="46" t="s">
        <v>31</v>
      </c>
      <c r="M94" s="46" t="s">
        <v>39</v>
      </c>
      <c r="N94" s="46" t="s">
        <v>40</v>
      </c>
      <c r="O94" s="46" t="s">
        <v>41</v>
      </c>
      <c r="P94" s="46" t="s">
        <v>564</v>
      </c>
    </row>
    <row r="95" spans="3:16" x14ac:dyDescent="0.25">
      <c r="C95" s="46" t="s">
        <v>570</v>
      </c>
      <c r="D95" s="46" t="s">
        <v>571</v>
      </c>
      <c r="E95" s="46" t="s">
        <v>559</v>
      </c>
      <c r="F95" s="46" t="s">
        <v>51</v>
      </c>
      <c r="G95" s="46" t="s">
        <v>572</v>
      </c>
      <c r="H95" s="46" t="s">
        <v>573</v>
      </c>
      <c r="I95" s="46" t="s">
        <v>574</v>
      </c>
      <c r="J95" s="46" t="s">
        <v>563</v>
      </c>
      <c r="K95" s="46" t="s">
        <v>30</v>
      </c>
      <c r="L95" s="46" t="s">
        <v>31</v>
      </c>
      <c r="M95" s="46" t="s">
        <v>39</v>
      </c>
      <c r="N95" s="46" t="s">
        <v>40</v>
      </c>
      <c r="O95" s="46" t="s">
        <v>41</v>
      </c>
      <c r="P95" s="46" t="s">
        <v>564</v>
      </c>
    </row>
    <row r="96" spans="3:16" x14ac:dyDescent="0.25">
      <c r="C96" s="46" t="s">
        <v>575</v>
      </c>
      <c r="D96" s="46" t="s">
        <v>576</v>
      </c>
      <c r="E96" s="46" t="s">
        <v>577</v>
      </c>
      <c r="F96" s="46" t="s">
        <v>29</v>
      </c>
      <c r="G96" s="46" t="s">
        <v>578</v>
      </c>
      <c r="H96" s="46" t="s">
        <v>579</v>
      </c>
      <c r="I96" s="46" t="s">
        <v>580</v>
      </c>
      <c r="J96" s="46" t="s">
        <v>581</v>
      </c>
      <c r="K96" s="46" t="s">
        <v>30</v>
      </c>
      <c r="L96" s="46" t="s">
        <v>31</v>
      </c>
      <c r="M96" s="46" t="s">
        <v>39</v>
      </c>
      <c r="N96" s="46" t="s">
        <v>40</v>
      </c>
      <c r="O96" s="46" t="s">
        <v>41</v>
      </c>
      <c r="P96" s="46" t="s">
        <v>582</v>
      </c>
    </row>
    <row r="97" spans="3:16" x14ac:dyDescent="0.25">
      <c r="C97" s="46" t="s">
        <v>583</v>
      </c>
      <c r="D97" s="46" t="s">
        <v>584</v>
      </c>
      <c r="E97" s="46" t="s">
        <v>577</v>
      </c>
      <c r="F97" s="46" t="s">
        <v>45</v>
      </c>
      <c r="G97" s="46" t="s">
        <v>585</v>
      </c>
      <c r="H97" s="46" t="s">
        <v>586</v>
      </c>
      <c r="I97" s="46" t="s">
        <v>587</v>
      </c>
      <c r="J97" s="46" t="s">
        <v>581</v>
      </c>
      <c r="K97" s="46" t="s">
        <v>30</v>
      </c>
      <c r="L97" s="46" t="s">
        <v>31</v>
      </c>
      <c r="M97" s="46" t="s">
        <v>39</v>
      </c>
      <c r="N97" s="46" t="s">
        <v>40</v>
      </c>
      <c r="O97" s="46" t="s">
        <v>41</v>
      </c>
      <c r="P97" s="46" t="s">
        <v>582</v>
      </c>
    </row>
    <row r="98" spans="3:16" x14ac:dyDescent="0.25">
      <c r="C98" s="46" t="s">
        <v>588</v>
      </c>
      <c r="D98" s="46" t="s">
        <v>589</v>
      </c>
      <c r="E98" s="46" t="s">
        <v>577</v>
      </c>
      <c r="F98" s="46" t="s">
        <v>51</v>
      </c>
      <c r="G98" s="46" t="s">
        <v>590</v>
      </c>
      <c r="H98" s="46" t="s">
        <v>591</v>
      </c>
      <c r="I98" s="46" t="s">
        <v>592</v>
      </c>
      <c r="J98" s="46" t="s">
        <v>581</v>
      </c>
      <c r="K98" s="46" t="s">
        <v>30</v>
      </c>
      <c r="L98" s="46" t="s">
        <v>31</v>
      </c>
      <c r="M98" s="46" t="s">
        <v>39</v>
      </c>
      <c r="N98" s="46" t="s">
        <v>40</v>
      </c>
      <c r="O98" s="46" t="s">
        <v>41</v>
      </c>
      <c r="P98" s="46" t="s">
        <v>582</v>
      </c>
    </row>
    <row r="99" spans="3:16" x14ac:dyDescent="0.25">
      <c r="C99" s="46" t="s">
        <v>593</v>
      </c>
      <c r="D99" s="46" t="s">
        <v>594</v>
      </c>
      <c r="E99" s="46" t="s">
        <v>595</v>
      </c>
      <c r="F99" s="46" t="s">
        <v>29</v>
      </c>
      <c r="G99" s="46" t="s">
        <v>596</v>
      </c>
      <c r="H99" s="46" t="s">
        <v>597</v>
      </c>
      <c r="I99" s="46" t="s">
        <v>598</v>
      </c>
      <c r="J99" s="46" t="s">
        <v>599</v>
      </c>
      <c r="K99" s="46" t="s">
        <v>30</v>
      </c>
      <c r="L99" s="46" t="s">
        <v>31</v>
      </c>
      <c r="M99" s="46" t="s">
        <v>39</v>
      </c>
      <c r="N99" s="46" t="s">
        <v>40</v>
      </c>
      <c r="O99" s="46" t="s">
        <v>41</v>
      </c>
      <c r="P99" s="46" t="s">
        <v>600</v>
      </c>
    </row>
    <row r="100" spans="3:16" x14ac:dyDescent="0.25">
      <c r="C100" s="46" t="s">
        <v>601</v>
      </c>
      <c r="D100" s="46" t="s">
        <v>602</v>
      </c>
      <c r="E100" s="46" t="s">
        <v>595</v>
      </c>
      <c r="F100" s="46" t="s">
        <v>45</v>
      </c>
      <c r="G100" s="46" t="s">
        <v>603</v>
      </c>
      <c r="H100" s="46" t="s">
        <v>604</v>
      </c>
      <c r="I100" s="46" t="s">
        <v>605</v>
      </c>
      <c r="J100" s="46" t="s">
        <v>599</v>
      </c>
      <c r="K100" s="46" t="s">
        <v>30</v>
      </c>
      <c r="L100" s="46" t="s">
        <v>31</v>
      </c>
      <c r="M100" s="46" t="s">
        <v>39</v>
      </c>
      <c r="N100" s="46" t="s">
        <v>40</v>
      </c>
      <c r="O100" s="46" t="s">
        <v>41</v>
      </c>
      <c r="P100" s="46" t="s">
        <v>600</v>
      </c>
    </row>
    <row r="101" spans="3:16" x14ac:dyDescent="0.25">
      <c r="C101" s="46" t="s">
        <v>606</v>
      </c>
      <c r="D101" s="46" t="s">
        <v>607</v>
      </c>
      <c r="E101" s="46" t="s">
        <v>595</v>
      </c>
      <c r="F101" s="46" t="s">
        <v>51</v>
      </c>
      <c r="G101" s="46" t="s">
        <v>608</v>
      </c>
      <c r="H101" s="46" t="s">
        <v>609</v>
      </c>
      <c r="I101" s="46" t="s">
        <v>610</v>
      </c>
      <c r="J101" s="46" t="s">
        <v>599</v>
      </c>
      <c r="K101" s="46" t="s">
        <v>30</v>
      </c>
      <c r="L101" s="46" t="s">
        <v>31</v>
      </c>
      <c r="M101" s="46" t="s">
        <v>39</v>
      </c>
      <c r="N101" s="46" t="s">
        <v>40</v>
      </c>
      <c r="O101" s="46" t="s">
        <v>41</v>
      </c>
      <c r="P101" s="46" t="s">
        <v>600</v>
      </c>
    </row>
    <row r="102" spans="3:16" x14ac:dyDescent="0.25">
      <c r="C102" s="46" t="s">
        <v>611</v>
      </c>
      <c r="D102" s="46" t="s">
        <v>612</v>
      </c>
      <c r="E102" s="46" t="s">
        <v>613</v>
      </c>
      <c r="F102" s="46" t="s">
        <v>29</v>
      </c>
      <c r="G102" s="46" t="s">
        <v>614</v>
      </c>
      <c r="H102" s="46" t="s">
        <v>615</v>
      </c>
      <c r="I102" s="46" t="s">
        <v>616</v>
      </c>
      <c r="J102" s="46" t="s">
        <v>617</v>
      </c>
      <c r="K102" s="46" t="s">
        <v>30</v>
      </c>
      <c r="L102" s="46" t="s">
        <v>31</v>
      </c>
      <c r="M102" s="46" t="s">
        <v>39</v>
      </c>
      <c r="N102" s="46" t="s">
        <v>40</v>
      </c>
      <c r="O102" s="46" t="s">
        <v>41</v>
      </c>
      <c r="P102" s="46" t="s">
        <v>618</v>
      </c>
    </row>
    <row r="103" spans="3:16" x14ac:dyDescent="0.25">
      <c r="C103" s="46" t="s">
        <v>619</v>
      </c>
      <c r="D103" s="46" t="s">
        <v>620</v>
      </c>
      <c r="E103" s="46" t="s">
        <v>613</v>
      </c>
      <c r="F103" s="46" t="s">
        <v>45</v>
      </c>
      <c r="G103" s="46" t="s">
        <v>621</v>
      </c>
      <c r="H103" s="46" t="s">
        <v>622</v>
      </c>
      <c r="I103" s="46" t="s">
        <v>623</v>
      </c>
      <c r="J103" s="46" t="s">
        <v>617</v>
      </c>
      <c r="K103" s="46" t="s">
        <v>30</v>
      </c>
      <c r="L103" s="46" t="s">
        <v>31</v>
      </c>
      <c r="M103" s="46" t="s">
        <v>39</v>
      </c>
      <c r="N103" s="46" t="s">
        <v>40</v>
      </c>
      <c r="O103" s="46" t="s">
        <v>41</v>
      </c>
      <c r="P103" s="46" t="s">
        <v>618</v>
      </c>
    </row>
    <row r="104" spans="3:16" x14ac:dyDescent="0.25">
      <c r="C104" s="46" t="s">
        <v>624</v>
      </c>
      <c r="D104" s="46" t="s">
        <v>625</v>
      </c>
      <c r="E104" s="46" t="s">
        <v>613</v>
      </c>
      <c r="F104" s="46" t="s">
        <v>51</v>
      </c>
      <c r="G104" s="46" t="s">
        <v>626</v>
      </c>
      <c r="H104" s="46" t="s">
        <v>627</v>
      </c>
      <c r="I104" s="46" t="s">
        <v>628</v>
      </c>
      <c r="J104" s="46" t="s">
        <v>617</v>
      </c>
      <c r="K104" s="46" t="s">
        <v>30</v>
      </c>
      <c r="L104" s="46" t="s">
        <v>31</v>
      </c>
      <c r="M104" s="46" t="s">
        <v>39</v>
      </c>
      <c r="N104" s="46" t="s">
        <v>40</v>
      </c>
      <c r="O104" s="46" t="s">
        <v>41</v>
      </c>
      <c r="P104" s="46" t="s">
        <v>618</v>
      </c>
    </row>
    <row r="105" spans="3:16" x14ac:dyDescent="0.25">
      <c r="C105" s="46" t="s">
        <v>629</v>
      </c>
      <c r="D105" s="46" t="s">
        <v>630</v>
      </c>
      <c r="E105" s="46" t="s">
        <v>631</v>
      </c>
      <c r="F105" s="46" t="s">
        <v>29</v>
      </c>
      <c r="G105" s="46" t="s">
        <v>632</v>
      </c>
      <c r="H105" s="46" t="s">
        <v>633</v>
      </c>
      <c r="I105" s="46" t="s">
        <v>634</v>
      </c>
      <c r="J105" s="46" t="s">
        <v>635</v>
      </c>
      <c r="K105" s="46" t="s">
        <v>30</v>
      </c>
      <c r="L105" s="46" t="s">
        <v>31</v>
      </c>
      <c r="M105" s="46" t="s">
        <v>39</v>
      </c>
      <c r="N105" s="46" t="s">
        <v>40</v>
      </c>
      <c r="O105" s="46" t="s">
        <v>41</v>
      </c>
      <c r="P105" s="46" t="s">
        <v>636</v>
      </c>
    </row>
    <row r="106" spans="3:16" x14ac:dyDescent="0.25">
      <c r="C106" s="46" t="s">
        <v>637</v>
      </c>
      <c r="D106" s="46" t="s">
        <v>638</v>
      </c>
      <c r="E106" s="46" t="s">
        <v>631</v>
      </c>
      <c r="F106" s="46" t="s">
        <v>45</v>
      </c>
      <c r="G106" s="46" t="s">
        <v>639</v>
      </c>
      <c r="H106" s="46" t="s">
        <v>640</v>
      </c>
      <c r="I106" s="46" t="s">
        <v>641</v>
      </c>
      <c r="J106" s="46" t="s">
        <v>635</v>
      </c>
      <c r="K106" s="46" t="s">
        <v>30</v>
      </c>
      <c r="L106" s="46" t="s">
        <v>31</v>
      </c>
      <c r="M106" s="46" t="s">
        <v>39</v>
      </c>
      <c r="N106" s="46" t="s">
        <v>40</v>
      </c>
      <c r="O106" s="46" t="s">
        <v>41</v>
      </c>
      <c r="P106" s="46" t="s">
        <v>636</v>
      </c>
    </row>
    <row r="107" spans="3:16" x14ac:dyDescent="0.25">
      <c r="C107" s="46" t="s">
        <v>642</v>
      </c>
      <c r="D107" s="46" t="s">
        <v>643</v>
      </c>
      <c r="E107" s="46" t="s">
        <v>631</v>
      </c>
      <c r="F107" s="46" t="s">
        <v>51</v>
      </c>
      <c r="G107" s="46" t="s">
        <v>644</v>
      </c>
      <c r="H107" s="46" t="s">
        <v>645</v>
      </c>
      <c r="I107" s="46" t="s">
        <v>646</v>
      </c>
      <c r="J107" s="46" t="s">
        <v>635</v>
      </c>
      <c r="K107" s="46" t="s">
        <v>30</v>
      </c>
      <c r="L107" s="46" t="s">
        <v>31</v>
      </c>
      <c r="M107" s="46" t="s">
        <v>39</v>
      </c>
      <c r="N107" s="46" t="s">
        <v>40</v>
      </c>
      <c r="O107" s="46" t="s">
        <v>41</v>
      </c>
      <c r="P107" s="46" t="s">
        <v>636</v>
      </c>
    </row>
    <row r="108" spans="3:16" x14ac:dyDescent="0.25">
      <c r="C108" s="46" t="s">
        <v>647</v>
      </c>
      <c r="D108" s="46" t="s">
        <v>648</v>
      </c>
      <c r="E108" s="46" t="s">
        <v>649</v>
      </c>
      <c r="F108" s="46" t="s">
        <v>29</v>
      </c>
      <c r="G108" s="46" t="s">
        <v>650</v>
      </c>
      <c r="H108" s="46" t="s">
        <v>651</v>
      </c>
      <c r="I108" s="46" t="s">
        <v>652</v>
      </c>
      <c r="J108" s="46" t="s">
        <v>653</v>
      </c>
      <c r="K108" s="46" t="s">
        <v>30</v>
      </c>
      <c r="L108" s="46" t="s">
        <v>31</v>
      </c>
      <c r="M108" s="46" t="s">
        <v>39</v>
      </c>
      <c r="N108" s="46" t="s">
        <v>40</v>
      </c>
      <c r="O108" s="46" t="s">
        <v>41</v>
      </c>
      <c r="P108" s="46" t="s">
        <v>654</v>
      </c>
    </row>
    <row r="109" spans="3:16" x14ac:dyDescent="0.25">
      <c r="C109" s="46" t="s">
        <v>655</v>
      </c>
      <c r="D109" s="46" t="s">
        <v>656</v>
      </c>
      <c r="E109" s="46" t="s">
        <v>649</v>
      </c>
      <c r="F109" s="46" t="s">
        <v>45</v>
      </c>
      <c r="G109" s="46" t="s">
        <v>657</v>
      </c>
      <c r="H109" s="46" t="s">
        <v>658</v>
      </c>
      <c r="I109" s="46" t="s">
        <v>659</v>
      </c>
      <c r="J109" s="46" t="s">
        <v>653</v>
      </c>
      <c r="K109" s="46" t="s">
        <v>30</v>
      </c>
      <c r="L109" s="46" t="s">
        <v>31</v>
      </c>
      <c r="M109" s="46" t="s">
        <v>39</v>
      </c>
      <c r="N109" s="46" t="s">
        <v>40</v>
      </c>
      <c r="O109" s="46" t="s">
        <v>41</v>
      </c>
      <c r="P109" s="46" t="s">
        <v>654</v>
      </c>
    </row>
    <row r="110" spans="3:16" x14ac:dyDescent="0.25">
      <c r="C110" s="46" t="s">
        <v>660</v>
      </c>
      <c r="D110" s="46" t="s">
        <v>661</v>
      </c>
      <c r="E110" s="46" t="s">
        <v>649</v>
      </c>
      <c r="F110" s="46" t="s">
        <v>51</v>
      </c>
      <c r="G110" s="46" t="s">
        <v>662</v>
      </c>
      <c r="H110" s="46" t="s">
        <v>663</v>
      </c>
      <c r="I110" s="46" t="s">
        <v>664</v>
      </c>
      <c r="J110" s="46" t="s">
        <v>653</v>
      </c>
      <c r="K110" s="46" t="s">
        <v>30</v>
      </c>
      <c r="L110" s="46" t="s">
        <v>31</v>
      </c>
      <c r="M110" s="46" t="s">
        <v>39</v>
      </c>
      <c r="N110" s="46" t="s">
        <v>40</v>
      </c>
      <c r="O110" s="46" t="s">
        <v>41</v>
      </c>
      <c r="P110" s="46" t="s">
        <v>654</v>
      </c>
    </row>
    <row r="111" spans="3:16" x14ac:dyDescent="0.25">
      <c r="C111" s="46" t="s">
        <v>665</v>
      </c>
      <c r="D111" s="46" t="s">
        <v>666</v>
      </c>
      <c r="E111" s="46" t="s">
        <v>667</v>
      </c>
      <c r="F111" s="46" t="s">
        <v>29</v>
      </c>
      <c r="G111" s="46" t="s">
        <v>668</v>
      </c>
      <c r="H111" s="46" t="s">
        <v>669</v>
      </c>
      <c r="I111" s="46" t="s">
        <v>670</v>
      </c>
      <c r="J111" s="46" t="s">
        <v>671</v>
      </c>
      <c r="K111" s="46" t="s">
        <v>30</v>
      </c>
      <c r="L111" s="46" t="s">
        <v>31</v>
      </c>
      <c r="M111" s="46" t="s">
        <v>39</v>
      </c>
      <c r="N111" s="46" t="s">
        <v>40</v>
      </c>
      <c r="O111" s="46" t="s">
        <v>41</v>
      </c>
      <c r="P111" s="46" t="s">
        <v>672</v>
      </c>
    </row>
    <row r="112" spans="3:16" x14ac:dyDescent="0.25">
      <c r="C112" s="46" t="s">
        <v>673</v>
      </c>
      <c r="D112" s="46" t="s">
        <v>674</v>
      </c>
      <c r="E112" s="46" t="s">
        <v>667</v>
      </c>
      <c r="F112" s="46" t="s">
        <v>45</v>
      </c>
      <c r="G112" s="46" t="s">
        <v>675</v>
      </c>
      <c r="H112" s="46" t="s">
        <v>676</v>
      </c>
      <c r="I112" s="46" t="s">
        <v>677</v>
      </c>
      <c r="J112" s="46" t="s">
        <v>671</v>
      </c>
      <c r="K112" s="46" t="s">
        <v>30</v>
      </c>
      <c r="L112" s="46" t="s">
        <v>31</v>
      </c>
      <c r="M112" s="46" t="s">
        <v>39</v>
      </c>
      <c r="N112" s="46" t="s">
        <v>40</v>
      </c>
      <c r="O112" s="46" t="s">
        <v>41</v>
      </c>
      <c r="P112" s="46" t="s">
        <v>672</v>
      </c>
    </row>
    <row r="113" spans="3:16" x14ac:dyDescent="0.25">
      <c r="C113" s="46" t="s">
        <v>678</v>
      </c>
      <c r="D113" s="46" t="s">
        <v>679</v>
      </c>
      <c r="E113" s="46" t="s">
        <v>667</v>
      </c>
      <c r="F113" s="46" t="s">
        <v>51</v>
      </c>
      <c r="G113" s="46" t="s">
        <v>680</v>
      </c>
      <c r="H113" s="46" t="s">
        <v>681</v>
      </c>
      <c r="I113" s="46" t="s">
        <v>682</v>
      </c>
      <c r="J113" s="46" t="s">
        <v>671</v>
      </c>
      <c r="K113" s="46" t="s">
        <v>30</v>
      </c>
      <c r="L113" s="46" t="s">
        <v>31</v>
      </c>
      <c r="M113" s="46" t="s">
        <v>39</v>
      </c>
      <c r="N113" s="46" t="s">
        <v>40</v>
      </c>
      <c r="O113" s="46" t="s">
        <v>41</v>
      </c>
      <c r="P113" s="46" t="s">
        <v>672</v>
      </c>
    </row>
    <row r="114" spans="3:16" x14ac:dyDescent="0.25">
      <c r="C114" s="46" t="s">
        <v>683</v>
      </c>
      <c r="D114" s="46" t="s">
        <v>684</v>
      </c>
      <c r="E114" s="46" t="s">
        <v>685</v>
      </c>
      <c r="F114" s="46" t="s">
        <v>51</v>
      </c>
      <c r="G114" s="46" t="s">
        <v>686</v>
      </c>
      <c r="H114" s="46" t="s">
        <v>687</v>
      </c>
      <c r="I114" s="46" t="s">
        <v>688</v>
      </c>
      <c r="J114" s="46" t="s">
        <v>689</v>
      </c>
      <c r="K114" s="46" t="s">
        <v>30</v>
      </c>
      <c r="L114" s="46" t="s">
        <v>31</v>
      </c>
      <c r="M114" s="46" t="s">
        <v>39</v>
      </c>
      <c r="N114" s="46" t="s">
        <v>40</v>
      </c>
      <c r="O114" s="46">
        <v>0</v>
      </c>
      <c r="P114" s="46">
        <v>0</v>
      </c>
    </row>
  </sheetData>
  <sheetProtection algorithmName="SHA-512" hashValue="QdI2XrispHgDxKY2HAx7kzyPkDWH5+PQanN1FCoUDOAtjh2TuMUQC3ai296pvl1d/+qWXKuKtInaYSKJX3vAGg==" saltValue="UvIOthISC0MYL0xPthsMOA==" spinCount="100000" sheet="1" objects="1" scenarios="1" selectLockedCells="1"/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J38"/>
  <sheetViews>
    <sheetView workbookViewId="0">
      <selection activeCell="F20" sqref="F20"/>
    </sheetView>
  </sheetViews>
  <sheetFormatPr defaultRowHeight="15" x14ac:dyDescent="0.25"/>
  <cols>
    <col min="1" max="2" width="9.140625" style="46"/>
    <col min="3" max="3" width="22.5703125" style="46" customWidth="1"/>
    <col min="4" max="4" width="3" style="46" customWidth="1"/>
    <col min="5" max="5" width="9.42578125" style="46" customWidth="1"/>
    <col min="6" max="6" width="33" style="46" customWidth="1"/>
    <col min="7" max="7" width="27.28515625" style="46" customWidth="1"/>
    <col min="8" max="8" width="25.5703125" style="46" customWidth="1"/>
    <col min="9" max="10" width="15.42578125" style="46" customWidth="1"/>
    <col min="11" max="16384" width="9.140625" style="46"/>
  </cols>
  <sheetData>
    <row r="1" spans="1:10" x14ac:dyDescent="0.25">
      <c r="A1" s="46">
        <v>1</v>
      </c>
      <c r="E1" s="46" t="s">
        <v>857</v>
      </c>
    </row>
    <row r="2" spans="1:10" ht="15" customHeight="1" x14ac:dyDescent="0.25">
      <c r="A2" s="46">
        <v>1</v>
      </c>
      <c r="B2" s="46" t="s">
        <v>691</v>
      </c>
      <c r="C2" s="46" t="s">
        <v>728</v>
      </c>
      <c r="E2" s="46">
        <f>COUNTA(F2:T2)-2</f>
        <v>3</v>
      </c>
      <c r="F2" s="47" t="s">
        <v>780</v>
      </c>
      <c r="G2" s="46" t="s">
        <v>781</v>
      </c>
      <c r="H2" s="46" t="s">
        <v>782</v>
      </c>
      <c r="I2" s="46" t="s">
        <v>768</v>
      </c>
      <c r="J2" s="46" t="s">
        <v>769</v>
      </c>
    </row>
    <row r="3" spans="1:10" x14ac:dyDescent="0.25">
      <c r="A3" s="46">
        <v>2</v>
      </c>
      <c r="B3" s="46" t="s">
        <v>692</v>
      </c>
      <c r="C3" s="46" t="s">
        <v>729</v>
      </c>
      <c r="E3" s="46">
        <f t="shared" ref="E3:E37" si="0">COUNTA(F3:T3)-2</f>
        <v>1</v>
      </c>
      <c r="F3" s="46" t="s">
        <v>771</v>
      </c>
      <c r="G3" s="46" t="s">
        <v>768</v>
      </c>
      <c r="H3" s="46" t="s">
        <v>769</v>
      </c>
    </row>
    <row r="4" spans="1:10" x14ac:dyDescent="0.25">
      <c r="A4" s="46">
        <v>3</v>
      </c>
      <c r="B4" s="46" t="s">
        <v>693</v>
      </c>
      <c r="C4" s="46" t="s">
        <v>730</v>
      </c>
      <c r="E4" s="46">
        <f t="shared" si="0"/>
        <v>1</v>
      </c>
      <c r="F4" s="46" t="s">
        <v>772</v>
      </c>
      <c r="G4" s="46" t="s">
        <v>768</v>
      </c>
      <c r="H4" s="46" t="s">
        <v>769</v>
      </c>
    </row>
    <row r="5" spans="1:10" x14ac:dyDescent="0.25">
      <c r="A5" s="46">
        <v>4</v>
      </c>
      <c r="B5" s="46" t="s">
        <v>694</v>
      </c>
      <c r="C5" s="46" t="s">
        <v>731</v>
      </c>
      <c r="E5" s="46">
        <f t="shared" si="0"/>
        <v>2</v>
      </c>
      <c r="F5" s="46" t="s">
        <v>783</v>
      </c>
      <c r="G5" s="46" t="s">
        <v>784</v>
      </c>
      <c r="H5" s="46" t="s">
        <v>768</v>
      </c>
      <c r="I5" s="46" t="s">
        <v>769</v>
      </c>
    </row>
    <row r="6" spans="1:10" x14ac:dyDescent="0.25">
      <c r="A6" s="46">
        <v>5</v>
      </c>
      <c r="B6" s="46" t="s">
        <v>695</v>
      </c>
      <c r="C6" s="46" t="s">
        <v>732</v>
      </c>
      <c r="E6" s="46">
        <f t="shared" si="0"/>
        <v>2</v>
      </c>
      <c r="F6" s="46" t="s">
        <v>785</v>
      </c>
      <c r="G6" s="46" t="s">
        <v>786</v>
      </c>
      <c r="H6" s="46" t="s">
        <v>768</v>
      </c>
      <c r="I6" s="46" t="s">
        <v>769</v>
      </c>
    </row>
    <row r="7" spans="1:10" x14ac:dyDescent="0.25">
      <c r="A7" s="46">
        <v>6</v>
      </c>
      <c r="B7" s="46" t="s">
        <v>696</v>
      </c>
      <c r="C7" s="46" t="s">
        <v>738</v>
      </c>
      <c r="E7" s="46">
        <f t="shared" si="0"/>
        <v>2</v>
      </c>
      <c r="F7" s="46" t="s">
        <v>787</v>
      </c>
      <c r="G7" s="46" t="s">
        <v>788</v>
      </c>
      <c r="H7" s="46" t="s">
        <v>768</v>
      </c>
      <c r="I7" s="46" t="s">
        <v>769</v>
      </c>
    </row>
    <row r="8" spans="1:10" x14ac:dyDescent="0.25">
      <c r="A8" s="46">
        <v>7</v>
      </c>
      <c r="B8" s="46" t="s">
        <v>697</v>
      </c>
      <c r="C8" s="46" t="s">
        <v>733</v>
      </c>
      <c r="E8" s="46">
        <f t="shared" si="0"/>
        <v>2</v>
      </c>
      <c r="F8" s="46" t="s">
        <v>789</v>
      </c>
      <c r="G8" s="46" t="s">
        <v>790</v>
      </c>
      <c r="H8" s="46" t="s">
        <v>768</v>
      </c>
      <c r="I8" s="46" t="s">
        <v>769</v>
      </c>
    </row>
    <row r="9" spans="1:10" x14ac:dyDescent="0.25">
      <c r="A9" s="46">
        <v>8</v>
      </c>
      <c r="B9" s="46" t="s">
        <v>698</v>
      </c>
      <c r="C9" s="46" t="s">
        <v>739</v>
      </c>
      <c r="E9" s="46">
        <f t="shared" si="0"/>
        <v>3</v>
      </c>
      <c r="F9" s="46" t="s">
        <v>833</v>
      </c>
      <c r="G9" s="46" t="s">
        <v>834</v>
      </c>
      <c r="H9" s="46" t="s">
        <v>835</v>
      </c>
      <c r="I9" s="46" t="s">
        <v>768</v>
      </c>
      <c r="J9" s="46" t="s">
        <v>769</v>
      </c>
    </row>
    <row r="10" spans="1:10" x14ac:dyDescent="0.25">
      <c r="A10" s="46">
        <v>9</v>
      </c>
      <c r="B10" s="46" t="s">
        <v>699</v>
      </c>
      <c r="C10" s="46" t="s">
        <v>734</v>
      </c>
      <c r="E10" s="46">
        <f t="shared" si="0"/>
        <v>1</v>
      </c>
      <c r="F10" s="46" t="s">
        <v>791</v>
      </c>
      <c r="G10" s="46" t="s">
        <v>768</v>
      </c>
      <c r="H10" s="46" t="s">
        <v>769</v>
      </c>
    </row>
    <row r="11" spans="1:10" x14ac:dyDescent="0.25">
      <c r="A11" s="46">
        <v>10</v>
      </c>
      <c r="B11" s="46" t="s">
        <v>700</v>
      </c>
      <c r="C11" s="46" t="s">
        <v>735</v>
      </c>
      <c r="E11" s="46">
        <f t="shared" si="0"/>
        <v>2</v>
      </c>
      <c r="F11" s="46" t="s">
        <v>836</v>
      </c>
      <c r="G11" s="46" t="s">
        <v>837</v>
      </c>
      <c r="H11" s="46" t="s">
        <v>768</v>
      </c>
      <c r="I11" s="46" t="s">
        <v>769</v>
      </c>
    </row>
    <row r="12" spans="1:10" x14ac:dyDescent="0.25">
      <c r="A12" s="46">
        <v>11</v>
      </c>
      <c r="B12" s="46" t="s">
        <v>701</v>
      </c>
      <c r="C12" s="46" t="s">
        <v>736</v>
      </c>
      <c r="E12" s="46">
        <f t="shared" si="0"/>
        <v>2</v>
      </c>
      <c r="F12" s="47" t="s">
        <v>792</v>
      </c>
      <c r="G12" s="46" t="s">
        <v>793</v>
      </c>
      <c r="H12" s="46" t="s">
        <v>768</v>
      </c>
      <c r="I12" s="46" t="s">
        <v>769</v>
      </c>
    </row>
    <row r="13" spans="1:10" x14ac:dyDescent="0.25">
      <c r="A13" s="46">
        <v>12</v>
      </c>
      <c r="B13" s="46" t="s">
        <v>702</v>
      </c>
      <c r="C13" s="46" t="s">
        <v>737</v>
      </c>
      <c r="E13" s="46">
        <f t="shared" si="0"/>
        <v>2</v>
      </c>
      <c r="F13" s="47" t="s">
        <v>794</v>
      </c>
      <c r="G13" s="46" t="s">
        <v>795</v>
      </c>
      <c r="H13" s="46" t="s">
        <v>768</v>
      </c>
      <c r="I13" s="46" t="s">
        <v>769</v>
      </c>
    </row>
    <row r="14" spans="1:10" x14ac:dyDescent="0.25">
      <c r="A14" s="46">
        <v>13</v>
      </c>
      <c r="B14" s="46" t="s">
        <v>703</v>
      </c>
      <c r="C14" s="46" t="s">
        <v>740</v>
      </c>
      <c r="E14" s="46">
        <f t="shared" si="0"/>
        <v>2</v>
      </c>
      <c r="F14" s="47" t="s">
        <v>796</v>
      </c>
      <c r="G14" s="46" t="s">
        <v>797</v>
      </c>
      <c r="H14" s="46" t="s">
        <v>768</v>
      </c>
      <c r="I14" s="46" t="s">
        <v>769</v>
      </c>
    </row>
    <row r="15" spans="1:10" x14ac:dyDescent="0.25">
      <c r="A15" s="46">
        <v>14</v>
      </c>
      <c r="B15" s="46" t="s">
        <v>704</v>
      </c>
      <c r="C15" s="46" t="s">
        <v>741</v>
      </c>
      <c r="E15" s="46">
        <f t="shared" si="0"/>
        <v>2</v>
      </c>
      <c r="F15" s="47" t="s">
        <v>798</v>
      </c>
      <c r="G15" s="46" t="s">
        <v>799</v>
      </c>
      <c r="H15" s="46" t="s">
        <v>768</v>
      </c>
      <c r="I15" s="46" t="s">
        <v>769</v>
      </c>
    </row>
    <row r="16" spans="1:10" x14ac:dyDescent="0.25">
      <c r="A16" s="46">
        <v>15</v>
      </c>
      <c r="B16" s="46" t="s">
        <v>705</v>
      </c>
      <c r="C16" s="46" t="s">
        <v>742</v>
      </c>
      <c r="E16" s="46">
        <f t="shared" si="0"/>
        <v>1</v>
      </c>
      <c r="F16" s="47" t="s">
        <v>773</v>
      </c>
      <c r="G16" s="46" t="s">
        <v>768</v>
      </c>
      <c r="H16" s="46" t="s">
        <v>769</v>
      </c>
    </row>
    <row r="17" spans="1:10" x14ac:dyDescent="0.25">
      <c r="A17" s="46">
        <v>16</v>
      </c>
      <c r="B17" s="46" t="s">
        <v>706</v>
      </c>
      <c r="C17" s="46" t="s">
        <v>743</v>
      </c>
      <c r="E17" s="46">
        <f t="shared" si="0"/>
        <v>2</v>
      </c>
      <c r="F17" s="47" t="s">
        <v>800</v>
      </c>
      <c r="G17" s="46" t="s">
        <v>801</v>
      </c>
      <c r="H17" s="46" t="s">
        <v>768</v>
      </c>
      <c r="I17" s="46" t="s">
        <v>769</v>
      </c>
    </row>
    <row r="18" spans="1:10" x14ac:dyDescent="0.25">
      <c r="A18" s="46">
        <v>17</v>
      </c>
      <c r="B18" s="46" t="s">
        <v>707</v>
      </c>
      <c r="C18" s="46" t="s">
        <v>744</v>
      </c>
      <c r="E18" s="46">
        <f t="shared" si="0"/>
        <v>1</v>
      </c>
      <c r="F18" s="47" t="s">
        <v>774</v>
      </c>
      <c r="G18" s="46" t="s">
        <v>768</v>
      </c>
      <c r="H18" s="46" t="s">
        <v>769</v>
      </c>
    </row>
    <row r="19" spans="1:10" x14ac:dyDescent="0.25">
      <c r="A19" s="46">
        <v>18</v>
      </c>
      <c r="B19" s="46" t="s">
        <v>708</v>
      </c>
      <c r="C19" s="46" t="s">
        <v>745</v>
      </c>
      <c r="E19" s="46">
        <f t="shared" si="0"/>
        <v>2</v>
      </c>
      <c r="F19" s="47" t="s">
        <v>802</v>
      </c>
      <c r="G19" s="46" t="s">
        <v>803</v>
      </c>
      <c r="H19" s="46" t="s">
        <v>768</v>
      </c>
      <c r="I19" s="46" t="s">
        <v>769</v>
      </c>
    </row>
    <row r="20" spans="1:10" x14ac:dyDescent="0.25">
      <c r="A20" s="46">
        <v>19</v>
      </c>
      <c r="B20" s="46" t="s">
        <v>709</v>
      </c>
      <c r="C20" s="46" t="s">
        <v>746</v>
      </c>
      <c r="E20" s="46">
        <f t="shared" si="0"/>
        <v>2</v>
      </c>
      <c r="F20" s="47" t="s">
        <v>804</v>
      </c>
      <c r="G20" s="46" t="s">
        <v>805</v>
      </c>
      <c r="H20" s="46" t="s">
        <v>768</v>
      </c>
      <c r="I20" s="46" t="s">
        <v>769</v>
      </c>
    </row>
    <row r="21" spans="1:10" x14ac:dyDescent="0.25">
      <c r="A21" s="46">
        <v>20</v>
      </c>
      <c r="B21" s="46" t="s">
        <v>710</v>
      </c>
      <c r="C21" s="46" t="s">
        <v>749</v>
      </c>
      <c r="E21" s="46">
        <f t="shared" si="0"/>
        <v>2</v>
      </c>
      <c r="F21" s="47" t="s">
        <v>806</v>
      </c>
      <c r="G21" s="46" t="s">
        <v>807</v>
      </c>
      <c r="H21" s="46" t="s">
        <v>768</v>
      </c>
      <c r="I21" s="46" t="s">
        <v>769</v>
      </c>
    </row>
    <row r="22" spans="1:10" x14ac:dyDescent="0.25">
      <c r="A22" s="46">
        <v>21</v>
      </c>
      <c r="B22" s="46" t="s">
        <v>711</v>
      </c>
      <c r="C22" s="46" t="s">
        <v>750</v>
      </c>
      <c r="E22" s="46">
        <f t="shared" si="0"/>
        <v>1</v>
      </c>
      <c r="F22" s="47" t="s">
        <v>775</v>
      </c>
      <c r="G22" s="46" t="s">
        <v>768</v>
      </c>
      <c r="H22" s="46" t="s">
        <v>769</v>
      </c>
    </row>
    <row r="23" spans="1:10" x14ac:dyDescent="0.25">
      <c r="A23" s="46">
        <v>22</v>
      </c>
      <c r="B23" s="46" t="s">
        <v>712</v>
      </c>
      <c r="C23" s="46" t="s">
        <v>747</v>
      </c>
      <c r="E23" s="46">
        <f t="shared" si="0"/>
        <v>3</v>
      </c>
      <c r="F23" s="47" t="s">
        <v>808</v>
      </c>
      <c r="G23" s="46" t="s">
        <v>809</v>
      </c>
      <c r="H23" s="46" t="s">
        <v>810</v>
      </c>
      <c r="I23" s="46" t="s">
        <v>768</v>
      </c>
      <c r="J23" s="46" t="s">
        <v>769</v>
      </c>
    </row>
    <row r="24" spans="1:10" x14ac:dyDescent="0.25">
      <c r="A24" s="46">
        <v>23</v>
      </c>
      <c r="B24" s="46" t="s">
        <v>713</v>
      </c>
      <c r="C24" s="46" t="s">
        <v>748</v>
      </c>
      <c r="E24" s="46">
        <f t="shared" si="0"/>
        <v>1</v>
      </c>
      <c r="F24" s="47" t="s">
        <v>776</v>
      </c>
      <c r="G24" s="46" t="s">
        <v>768</v>
      </c>
      <c r="H24" s="46" t="s">
        <v>769</v>
      </c>
    </row>
    <row r="25" spans="1:10" x14ac:dyDescent="0.25">
      <c r="A25" s="46">
        <v>24</v>
      </c>
      <c r="B25" s="46" t="s">
        <v>714</v>
      </c>
      <c r="C25" s="46" t="s">
        <v>751</v>
      </c>
      <c r="E25" s="46">
        <f t="shared" si="0"/>
        <v>1</v>
      </c>
      <c r="F25" s="47" t="s">
        <v>777</v>
      </c>
      <c r="G25" s="46" t="s">
        <v>768</v>
      </c>
      <c r="H25" s="46" t="s">
        <v>769</v>
      </c>
    </row>
    <row r="26" spans="1:10" x14ac:dyDescent="0.25">
      <c r="A26" s="46">
        <v>25</v>
      </c>
      <c r="B26" s="46" t="s">
        <v>715</v>
      </c>
      <c r="C26" s="46" t="s">
        <v>752</v>
      </c>
      <c r="E26" s="46">
        <f t="shared" si="0"/>
        <v>2</v>
      </c>
      <c r="F26" s="47" t="s">
        <v>811</v>
      </c>
      <c r="G26" s="46" t="s">
        <v>812</v>
      </c>
      <c r="H26" s="46" t="s">
        <v>768</v>
      </c>
      <c r="I26" s="46" t="s">
        <v>769</v>
      </c>
    </row>
    <row r="27" spans="1:10" ht="30" x14ac:dyDescent="0.25">
      <c r="A27" s="46">
        <v>26</v>
      </c>
      <c r="B27" s="46" t="s">
        <v>716</v>
      </c>
      <c r="C27" s="46" t="s">
        <v>753</v>
      </c>
      <c r="E27" s="46">
        <f t="shared" si="0"/>
        <v>2</v>
      </c>
      <c r="F27" s="47" t="s">
        <v>813</v>
      </c>
      <c r="G27" s="46" t="s">
        <v>814</v>
      </c>
      <c r="H27" s="46" t="s">
        <v>768</v>
      </c>
      <c r="I27" s="46" t="s">
        <v>769</v>
      </c>
    </row>
    <row r="28" spans="1:10" x14ac:dyDescent="0.25">
      <c r="A28" s="46">
        <v>27</v>
      </c>
      <c r="B28" s="46" t="s">
        <v>717</v>
      </c>
      <c r="C28" s="46" t="s">
        <v>754</v>
      </c>
      <c r="E28" s="46">
        <f t="shared" si="0"/>
        <v>2</v>
      </c>
      <c r="F28" s="47" t="s">
        <v>815</v>
      </c>
      <c r="G28" s="46" t="s">
        <v>816</v>
      </c>
      <c r="H28" s="46" t="s">
        <v>768</v>
      </c>
      <c r="I28" s="46" t="s">
        <v>769</v>
      </c>
    </row>
    <row r="29" spans="1:10" x14ac:dyDescent="0.25">
      <c r="A29" s="46">
        <v>28</v>
      </c>
      <c r="B29" s="46" t="s">
        <v>718</v>
      </c>
      <c r="C29" s="46" t="s">
        <v>755</v>
      </c>
      <c r="E29" s="46">
        <f t="shared" si="0"/>
        <v>2</v>
      </c>
      <c r="F29" s="47" t="s">
        <v>817</v>
      </c>
      <c r="G29" s="46" t="s">
        <v>818</v>
      </c>
      <c r="H29" s="46" t="s">
        <v>768</v>
      </c>
      <c r="I29" s="46" t="s">
        <v>769</v>
      </c>
    </row>
    <row r="30" spans="1:10" x14ac:dyDescent="0.25">
      <c r="A30" s="46">
        <v>29</v>
      </c>
      <c r="B30" s="46" t="s">
        <v>719</v>
      </c>
      <c r="C30" s="46" t="s">
        <v>756</v>
      </c>
      <c r="E30" s="46">
        <f t="shared" si="0"/>
        <v>3</v>
      </c>
      <c r="F30" s="47" t="s">
        <v>819</v>
      </c>
      <c r="G30" s="46" t="s">
        <v>820</v>
      </c>
      <c r="H30" s="46" t="s">
        <v>821</v>
      </c>
      <c r="I30" s="46" t="s">
        <v>768</v>
      </c>
      <c r="J30" s="46" t="s">
        <v>769</v>
      </c>
    </row>
    <row r="31" spans="1:10" x14ac:dyDescent="0.25">
      <c r="A31" s="46">
        <v>30</v>
      </c>
      <c r="B31" s="46" t="s">
        <v>720</v>
      </c>
      <c r="C31" s="46" t="s">
        <v>757</v>
      </c>
      <c r="E31" s="46">
        <f t="shared" si="0"/>
        <v>2</v>
      </c>
      <c r="F31" s="47" t="s">
        <v>822</v>
      </c>
      <c r="G31" s="46" t="s">
        <v>823</v>
      </c>
      <c r="H31" s="46" t="s">
        <v>768</v>
      </c>
      <c r="I31" s="46" t="s">
        <v>769</v>
      </c>
    </row>
    <row r="32" spans="1:10" x14ac:dyDescent="0.25">
      <c r="A32" s="46">
        <v>31</v>
      </c>
      <c r="B32" s="46" t="s">
        <v>721</v>
      </c>
      <c r="C32" s="46" t="s">
        <v>758</v>
      </c>
      <c r="E32" s="46">
        <f t="shared" si="0"/>
        <v>3</v>
      </c>
      <c r="F32" s="47" t="s">
        <v>824</v>
      </c>
      <c r="G32" s="46" t="s">
        <v>825</v>
      </c>
      <c r="H32" s="46" t="s">
        <v>826</v>
      </c>
      <c r="I32" s="46" t="s">
        <v>768</v>
      </c>
      <c r="J32" s="46" t="s">
        <v>769</v>
      </c>
    </row>
    <row r="33" spans="1:9" x14ac:dyDescent="0.25">
      <c r="A33" s="46">
        <v>32</v>
      </c>
      <c r="B33" s="46" t="s">
        <v>722</v>
      </c>
      <c r="C33" s="46" t="s">
        <v>759</v>
      </c>
      <c r="E33" s="46">
        <f t="shared" si="0"/>
        <v>2</v>
      </c>
      <c r="F33" s="47" t="s">
        <v>827</v>
      </c>
      <c r="G33" s="46" t="s">
        <v>828</v>
      </c>
      <c r="H33" s="46" t="s">
        <v>768</v>
      </c>
      <c r="I33" s="46" t="s">
        <v>769</v>
      </c>
    </row>
    <row r="34" spans="1:9" x14ac:dyDescent="0.25">
      <c r="A34" s="46">
        <v>33</v>
      </c>
      <c r="B34" s="46" t="s">
        <v>723</v>
      </c>
      <c r="C34" s="46" t="s">
        <v>760</v>
      </c>
      <c r="D34" s="46" t="s">
        <v>762</v>
      </c>
      <c r="E34" s="46">
        <f t="shared" si="0"/>
        <v>2</v>
      </c>
      <c r="F34" s="47" t="s">
        <v>829</v>
      </c>
      <c r="G34" s="46" t="s">
        <v>830</v>
      </c>
      <c r="H34" s="46" t="s">
        <v>768</v>
      </c>
      <c r="I34" s="46" t="s">
        <v>769</v>
      </c>
    </row>
    <row r="35" spans="1:9" x14ac:dyDescent="0.25">
      <c r="A35" s="46">
        <v>34</v>
      </c>
      <c r="B35" s="46" t="s">
        <v>724</v>
      </c>
      <c r="C35" s="46" t="s">
        <v>761</v>
      </c>
      <c r="D35" s="46" t="s">
        <v>762</v>
      </c>
      <c r="E35" s="46">
        <f t="shared" si="0"/>
        <v>2</v>
      </c>
      <c r="F35" s="47" t="s">
        <v>831</v>
      </c>
      <c r="G35" s="46" t="s">
        <v>832</v>
      </c>
      <c r="H35" s="46" t="s">
        <v>768</v>
      </c>
      <c r="I35" s="46" t="s">
        <v>769</v>
      </c>
    </row>
    <row r="36" spans="1:9" x14ac:dyDescent="0.25">
      <c r="A36" s="46">
        <v>35</v>
      </c>
      <c r="B36" s="46" t="s">
        <v>725</v>
      </c>
      <c r="C36" s="46" t="s">
        <v>763</v>
      </c>
      <c r="D36" s="46" t="s">
        <v>762</v>
      </c>
      <c r="E36" s="46">
        <f t="shared" si="0"/>
        <v>1</v>
      </c>
      <c r="F36" s="47" t="s">
        <v>778</v>
      </c>
      <c r="G36" s="46" t="s">
        <v>768</v>
      </c>
      <c r="H36" s="46" t="s">
        <v>769</v>
      </c>
    </row>
    <row r="37" spans="1:9" x14ac:dyDescent="0.25">
      <c r="A37" s="46">
        <v>36</v>
      </c>
      <c r="B37" s="46" t="s">
        <v>726</v>
      </c>
      <c r="C37" s="46" t="s">
        <v>764</v>
      </c>
      <c r="D37" s="46" t="s">
        <v>762</v>
      </c>
      <c r="E37" s="46">
        <f t="shared" si="0"/>
        <v>1</v>
      </c>
      <c r="F37" s="47" t="s">
        <v>779</v>
      </c>
      <c r="G37" s="46" t="s">
        <v>768</v>
      </c>
      <c r="H37" s="46" t="s">
        <v>769</v>
      </c>
    </row>
    <row r="38" spans="1:9" x14ac:dyDescent="0.25">
      <c r="A38" s="46">
        <v>37</v>
      </c>
      <c r="B38" s="46" t="s">
        <v>727</v>
      </c>
      <c r="C38" s="46" t="s">
        <v>765</v>
      </c>
    </row>
  </sheetData>
  <sheetProtection algorithmName="SHA-512" hashValue="KoghVIMsR0Uyajn7IAZdutg1AKlIRRV/yzz7lYj9rDtwi9m+FJpHXJLCUrfyWDdAFcYzGohYon/I7Nce6QvJLw==" saltValue="NPiuxY3BUO/GU8jSGh9+WQ==" spinCount="100000" sheet="1" objects="1" scenarios="1" selectLockedCells="1"/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B1:H114"/>
  <sheetViews>
    <sheetView topLeftCell="A95" workbookViewId="0">
      <selection activeCell="F20" sqref="F20"/>
    </sheetView>
  </sheetViews>
  <sheetFormatPr defaultRowHeight="15" x14ac:dyDescent="0.25"/>
  <cols>
    <col min="1" max="2" width="9.140625" style="46"/>
    <col min="3" max="3" width="8.5703125" style="46" bestFit="1" customWidth="1"/>
    <col min="4" max="4" width="45.140625" style="46" customWidth="1"/>
    <col min="5" max="5" width="9.140625" style="46"/>
    <col min="6" max="6" width="18.85546875" style="46" customWidth="1"/>
    <col min="7" max="7" width="9.28515625" style="46" bestFit="1" customWidth="1"/>
    <col min="8" max="8" width="16.5703125" style="46" bestFit="1" customWidth="1"/>
    <col min="9" max="16384" width="9.140625" style="46"/>
  </cols>
  <sheetData>
    <row r="1" spans="2:8" x14ac:dyDescent="0.25">
      <c r="D1" s="46" t="s">
        <v>40</v>
      </c>
    </row>
    <row r="5" spans="2:8" x14ac:dyDescent="0.25">
      <c r="C5" s="46" t="s">
        <v>14</v>
      </c>
      <c r="D5" s="46" t="s">
        <v>15</v>
      </c>
      <c r="E5" s="46" t="s">
        <v>846</v>
      </c>
      <c r="F5" s="46" t="s">
        <v>847</v>
      </c>
      <c r="G5" s="46" t="s">
        <v>762</v>
      </c>
      <c r="H5" s="46" t="s">
        <v>845</v>
      </c>
    </row>
    <row r="6" spans="2:8" x14ac:dyDescent="0.25">
      <c r="B6" s="46">
        <v>1</v>
      </c>
      <c r="C6" s="46" t="s">
        <v>32</v>
      </c>
      <c r="D6" s="46" t="s">
        <v>33</v>
      </c>
      <c r="E6" s="46" t="s">
        <v>691</v>
      </c>
      <c r="F6" s="46" t="s">
        <v>728</v>
      </c>
      <c r="H6" s="46">
        <v>70</v>
      </c>
    </row>
    <row r="7" spans="2:8" x14ac:dyDescent="0.25">
      <c r="B7" s="46">
        <v>2</v>
      </c>
      <c r="C7" s="46" t="s">
        <v>43</v>
      </c>
      <c r="D7" s="46" t="s">
        <v>44</v>
      </c>
      <c r="E7" s="46" t="s">
        <v>691</v>
      </c>
      <c r="H7" s="46">
        <v>954</v>
      </c>
    </row>
    <row r="8" spans="2:8" x14ac:dyDescent="0.25">
      <c r="B8" s="46">
        <v>3</v>
      </c>
      <c r="C8" s="46" t="s">
        <v>49</v>
      </c>
      <c r="D8" s="46" t="s">
        <v>50</v>
      </c>
      <c r="E8" s="46" t="s">
        <v>691</v>
      </c>
      <c r="H8" s="46">
        <v>44</v>
      </c>
    </row>
    <row r="9" spans="2:8" x14ac:dyDescent="0.25">
      <c r="B9" s="46">
        <v>4</v>
      </c>
      <c r="C9" s="46" t="s">
        <v>55</v>
      </c>
      <c r="D9" s="46" t="s">
        <v>56</v>
      </c>
      <c r="E9" s="46" t="s">
        <v>692</v>
      </c>
      <c r="F9" s="46" t="s">
        <v>729</v>
      </c>
      <c r="H9" s="46">
        <v>68</v>
      </c>
    </row>
    <row r="10" spans="2:8" x14ac:dyDescent="0.25">
      <c r="B10" s="46">
        <v>5</v>
      </c>
      <c r="C10" s="46" t="s">
        <v>63</v>
      </c>
      <c r="D10" s="46" t="s">
        <v>64</v>
      </c>
      <c r="E10" s="46" t="s">
        <v>692</v>
      </c>
      <c r="H10" s="46">
        <v>1083</v>
      </c>
    </row>
    <row r="11" spans="2:8" x14ac:dyDescent="0.25">
      <c r="B11" s="46">
        <v>6</v>
      </c>
      <c r="C11" s="46" t="s">
        <v>68</v>
      </c>
      <c r="D11" s="46" t="s">
        <v>69</v>
      </c>
      <c r="E11" s="46" t="s">
        <v>692</v>
      </c>
      <c r="H11" s="46">
        <v>46</v>
      </c>
    </row>
    <row r="12" spans="2:8" x14ac:dyDescent="0.25">
      <c r="B12" s="46">
        <v>7</v>
      </c>
      <c r="C12" s="46" t="s">
        <v>73</v>
      </c>
      <c r="D12" s="46" t="s">
        <v>74</v>
      </c>
      <c r="E12" s="46" t="s">
        <v>693</v>
      </c>
      <c r="F12" s="46" t="s">
        <v>730</v>
      </c>
      <c r="H12" s="46">
        <v>78</v>
      </c>
    </row>
    <row r="13" spans="2:8" x14ac:dyDescent="0.25">
      <c r="B13" s="46">
        <v>8</v>
      </c>
      <c r="C13" s="46" t="s">
        <v>81</v>
      </c>
      <c r="D13" s="46" t="s">
        <v>82</v>
      </c>
      <c r="E13" s="46" t="s">
        <v>693</v>
      </c>
      <c r="H13" s="46">
        <v>1335</v>
      </c>
    </row>
    <row r="14" spans="2:8" x14ac:dyDescent="0.25">
      <c r="B14" s="46">
        <v>9</v>
      </c>
      <c r="C14" s="46" t="s">
        <v>86</v>
      </c>
      <c r="D14" s="46" t="s">
        <v>87</v>
      </c>
      <c r="E14" s="46" t="s">
        <v>693</v>
      </c>
      <c r="H14" s="46">
        <v>57</v>
      </c>
    </row>
    <row r="15" spans="2:8" x14ac:dyDescent="0.25">
      <c r="B15" s="46">
        <v>10</v>
      </c>
      <c r="C15" s="46" t="s">
        <v>91</v>
      </c>
      <c r="D15" s="46" t="s">
        <v>92</v>
      </c>
      <c r="E15" s="46" t="s">
        <v>694</v>
      </c>
      <c r="F15" s="46" t="s">
        <v>731</v>
      </c>
      <c r="H15" s="46">
        <v>70</v>
      </c>
    </row>
    <row r="16" spans="2:8" x14ac:dyDescent="0.25">
      <c r="B16" s="46">
        <v>11</v>
      </c>
      <c r="C16" s="46" t="s">
        <v>99</v>
      </c>
      <c r="D16" s="46" t="s">
        <v>100</v>
      </c>
      <c r="E16" s="46" t="s">
        <v>694</v>
      </c>
      <c r="H16" s="46">
        <v>1039</v>
      </c>
    </row>
    <row r="17" spans="2:8" x14ac:dyDescent="0.25">
      <c r="B17" s="46">
        <v>12</v>
      </c>
      <c r="C17" s="46" t="s">
        <v>104</v>
      </c>
      <c r="D17" s="46" t="s">
        <v>105</v>
      </c>
      <c r="E17" s="46" t="s">
        <v>694</v>
      </c>
      <c r="H17" s="46">
        <v>45</v>
      </c>
    </row>
    <row r="18" spans="2:8" x14ac:dyDescent="0.25">
      <c r="B18" s="46">
        <v>13</v>
      </c>
      <c r="C18" s="46" t="s">
        <v>109</v>
      </c>
      <c r="D18" s="46" t="s">
        <v>110</v>
      </c>
      <c r="E18" s="46" t="s">
        <v>695</v>
      </c>
      <c r="F18" s="46" t="s">
        <v>732</v>
      </c>
      <c r="H18" s="46">
        <v>63</v>
      </c>
    </row>
    <row r="19" spans="2:8" x14ac:dyDescent="0.25">
      <c r="B19" s="46">
        <v>14</v>
      </c>
      <c r="C19" s="46" t="s">
        <v>117</v>
      </c>
      <c r="D19" s="46" t="s">
        <v>118</v>
      </c>
      <c r="E19" s="46" t="s">
        <v>695</v>
      </c>
      <c r="H19" s="46">
        <v>1214</v>
      </c>
    </row>
    <row r="20" spans="2:8" x14ac:dyDescent="0.25">
      <c r="B20" s="46">
        <v>15</v>
      </c>
      <c r="C20" s="46" t="s">
        <v>122</v>
      </c>
      <c r="D20" s="46" t="s">
        <v>123</v>
      </c>
      <c r="E20" s="46" t="s">
        <v>695</v>
      </c>
      <c r="H20" s="46">
        <v>45</v>
      </c>
    </row>
    <row r="21" spans="2:8" x14ac:dyDescent="0.25">
      <c r="B21" s="46">
        <v>16</v>
      </c>
      <c r="C21" s="46" t="s">
        <v>126</v>
      </c>
      <c r="D21" s="46" t="s">
        <v>127</v>
      </c>
      <c r="E21" s="46" t="s">
        <v>696</v>
      </c>
      <c r="F21" s="46" t="s">
        <v>738</v>
      </c>
      <c r="H21" s="46">
        <v>71</v>
      </c>
    </row>
    <row r="22" spans="2:8" x14ac:dyDescent="0.25">
      <c r="B22" s="46">
        <v>17</v>
      </c>
      <c r="C22" s="46" t="s">
        <v>134</v>
      </c>
      <c r="D22" s="46" t="s">
        <v>135</v>
      </c>
      <c r="E22" s="46" t="s">
        <v>696</v>
      </c>
      <c r="H22" s="46">
        <v>1211</v>
      </c>
    </row>
    <row r="23" spans="2:8" x14ac:dyDescent="0.25">
      <c r="B23" s="46">
        <v>18</v>
      </c>
      <c r="C23" s="46" t="s">
        <v>139</v>
      </c>
      <c r="D23" s="46" t="s">
        <v>140</v>
      </c>
      <c r="E23" s="46" t="s">
        <v>696</v>
      </c>
      <c r="H23" s="46">
        <v>43</v>
      </c>
    </row>
    <row r="24" spans="2:8" x14ac:dyDescent="0.25">
      <c r="B24" s="46">
        <v>19</v>
      </c>
      <c r="C24" s="46" t="s">
        <v>144</v>
      </c>
      <c r="D24" s="46" t="s">
        <v>145</v>
      </c>
      <c r="E24" s="46" t="s">
        <v>697</v>
      </c>
      <c r="F24" s="46" t="s">
        <v>733</v>
      </c>
      <c r="H24" s="46">
        <v>68</v>
      </c>
    </row>
    <row r="25" spans="2:8" x14ac:dyDescent="0.25">
      <c r="B25" s="46">
        <v>20</v>
      </c>
      <c r="C25" s="46" t="s">
        <v>152</v>
      </c>
      <c r="D25" s="46" t="s">
        <v>153</v>
      </c>
      <c r="E25" s="46" t="s">
        <v>697</v>
      </c>
      <c r="H25" s="46">
        <v>740</v>
      </c>
    </row>
    <row r="26" spans="2:8" x14ac:dyDescent="0.25">
      <c r="B26" s="46">
        <v>21</v>
      </c>
      <c r="C26" s="46" t="s">
        <v>157</v>
      </c>
      <c r="D26" s="46" t="s">
        <v>158</v>
      </c>
      <c r="E26" s="46" t="s">
        <v>697</v>
      </c>
      <c r="H26" s="46">
        <v>40</v>
      </c>
    </row>
    <row r="27" spans="2:8" x14ac:dyDescent="0.25">
      <c r="B27" s="46">
        <v>22</v>
      </c>
      <c r="C27" s="46" t="s">
        <v>162</v>
      </c>
      <c r="D27" s="46" t="s">
        <v>163</v>
      </c>
      <c r="E27" s="46" t="s">
        <v>698</v>
      </c>
      <c r="F27" s="46" t="s">
        <v>739</v>
      </c>
      <c r="H27" s="46">
        <v>60</v>
      </c>
    </row>
    <row r="28" spans="2:8" x14ac:dyDescent="0.25">
      <c r="B28" s="46">
        <v>23</v>
      </c>
      <c r="C28" s="46" t="s">
        <v>170</v>
      </c>
      <c r="D28" s="46" t="s">
        <v>171</v>
      </c>
      <c r="E28" s="46" t="s">
        <v>698</v>
      </c>
      <c r="H28" s="46">
        <v>758</v>
      </c>
    </row>
    <row r="29" spans="2:8" x14ac:dyDescent="0.25">
      <c r="B29" s="46">
        <v>24</v>
      </c>
      <c r="C29" s="46" t="s">
        <v>175</v>
      </c>
      <c r="D29" s="46" t="s">
        <v>176</v>
      </c>
      <c r="E29" s="46" t="s">
        <v>698</v>
      </c>
      <c r="H29" s="46">
        <v>41</v>
      </c>
    </row>
    <row r="30" spans="2:8" x14ac:dyDescent="0.25">
      <c r="B30" s="46">
        <v>25</v>
      </c>
      <c r="C30" s="46" t="s">
        <v>180</v>
      </c>
      <c r="D30" s="46" t="s">
        <v>181</v>
      </c>
      <c r="E30" s="46" t="s">
        <v>699</v>
      </c>
      <c r="F30" s="46" t="s">
        <v>734</v>
      </c>
      <c r="H30" s="46">
        <v>65</v>
      </c>
    </row>
    <row r="31" spans="2:8" x14ac:dyDescent="0.25">
      <c r="B31" s="46">
        <v>26</v>
      </c>
      <c r="C31" s="46" t="s">
        <v>188</v>
      </c>
      <c r="D31" s="46" t="s">
        <v>189</v>
      </c>
      <c r="E31" s="46" t="s">
        <v>699</v>
      </c>
      <c r="H31" s="46">
        <v>740</v>
      </c>
    </row>
    <row r="32" spans="2:8" x14ac:dyDescent="0.25">
      <c r="B32" s="46">
        <v>27</v>
      </c>
      <c r="C32" s="46" t="s">
        <v>193</v>
      </c>
      <c r="D32" s="46" t="s">
        <v>194</v>
      </c>
      <c r="E32" s="46" t="s">
        <v>699</v>
      </c>
      <c r="H32" s="46">
        <v>43</v>
      </c>
    </row>
    <row r="33" spans="2:8" x14ac:dyDescent="0.25">
      <c r="B33" s="46">
        <v>28</v>
      </c>
      <c r="C33" s="46" t="s">
        <v>198</v>
      </c>
      <c r="D33" s="46" t="s">
        <v>199</v>
      </c>
      <c r="E33" s="46" t="s">
        <v>700</v>
      </c>
      <c r="F33" s="46" t="s">
        <v>735</v>
      </c>
      <c r="H33" s="46">
        <v>68</v>
      </c>
    </row>
    <row r="34" spans="2:8" x14ac:dyDescent="0.25">
      <c r="B34" s="46">
        <v>29</v>
      </c>
      <c r="C34" s="46" t="s">
        <v>206</v>
      </c>
      <c r="D34" s="46" t="s">
        <v>207</v>
      </c>
      <c r="E34" s="46" t="s">
        <v>700</v>
      </c>
      <c r="H34" s="46">
        <v>1196</v>
      </c>
    </row>
    <row r="35" spans="2:8" x14ac:dyDescent="0.25">
      <c r="B35" s="46">
        <v>30</v>
      </c>
      <c r="C35" s="46" t="s">
        <v>211</v>
      </c>
      <c r="D35" s="46" t="s">
        <v>212</v>
      </c>
      <c r="E35" s="46" t="s">
        <v>700</v>
      </c>
      <c r="H35" s="46">
        <v>45</v>
      </c>
    </row>
    <row r="36" spans="2:8" x14ac:dyDescent="0.25">
      <c r="B36" s="46">
        <v>31</v>
      </c>
      <c r="C36" s="46" t="s">
        <v>216</v>
      </c>
      <c r="D36" s="46" t="s">
        <v>217</v>
      </c>
      <c r="E36" s="46" t="s">
        <v>701</v>
      </c>
      <c r="F36" s="46" t="s">
        <v>736</v>
      </c>
      <c r="H36" s="46">
        <v>68</v>
      </c>
    </row>
    <row r="37" spans="2:8" x14ac:dyDescent="0.25">
      <c r="B37" s="46">
        <v>32</v>
      </c>
      <c r="C37" s="46" t="s">
        <v>224</v>
      </c>
      <c r="D37" s="46" t="s">
        <v>225</v>
      </c>
      <c r="E37" s="46" t="s">
        <v>701</v>
      </c>
      <c r="H37" s="46">
        <v>840</v>
      </c>
    </row>
    <row r="38" spans="2:8" x14ac:dyDescent="0.25">
      <c r="B38" s="46">
        <v>33</v>
      </c>
      <c r="C38" s="46" t="s">
        <v>229</v>
      </c>
      <c r="D38" s="46" t="s">
        <v>230</v>
      </c>
      <c r="E38" s="46" t="s">
        <v>701</v>
      </c>
      <c r="H38" s="46">
        <v>47</v>
      </c>
    </row>
    <row r="39" spans="2:8" x14ac:dyDescent="0.25">
      <c r="B39" s="46">
        <v>34</v>
      </c>
      <c r="C39" s="46" t="s">
        <v>233</v>
      </c>
      <c r="D39" s="46" t="s">
        <v>234</v>
      </c>
      <c r="E39" s="46" t="s">
        <v>702</v>
      </c>
      <c r="F39" s="46" t="s">
        <v>737</v>
      </c>
      <c r="H39" s="46">
        <v>86</v>
      </c>
    </row>
    <row r="40" spans="2:8" x14ac:dyDescent="0.25">
      <c r="B40" s="46">
        <v>35</v>
      </c>
      <c r="C40" s="46" t="s">
        <v>241</v>
      </c>
      <c r="D40" s="46" t="s">
        <v>242</v>
      </c>
      <c r="E40" s="46" t="s">
        <v>702</v>
      </c>
      <c r="H40" s="46">
        <v>1498</v>
      </c>
    </row>
    <row r="41" spans="2:8" x14ac:dyDescent="0.25">
      <c r="B41" s="46">
        <v>36</v>
      </c>
      <c r="C41" s="46" t="s">
        <v>246</v>
      </c>
      <c r="D41" s="46" t="s">
        <v>247</v>
      </c>
      <c r="E41" s="46" t="s">
        <v>702</v>
      </c>
      <c r="H41" s="46">
        <v>69</v>
      </c>
    </row>
    <row r="42" spans="2:8" x14ac:dyDescent="0.25">
      <c r="B42" s="46">
        <v>37</v>
      </c>
      <c r="C42" s="46" t="s">
        <v>251</v>
      </c>
      <c r="D42" s="46" t="s">
        <v>252</v>
      </c>
      <c r="E42" s="46" t="s">
        <v>703</v>
      </c>
      <c r="F42" s="46" t="s">
        <v>740</v>
      </c>
      <c r="H42" s="46">
        <v>74</v>
      </c>
    </row>
    <row r="43" spans="2:8" x14ac:dyDescent="0.25">
      <c r="B43" s="46">
        <v>38</v>
      </c>
      <c r="C43" s="46" t="s">
        <v>259</v>
      </c>
      <c r="D43" s="46" t="s">
        <v>260</v>
      </c>
      <c r="E43" s="46" t="s">
        <v>703</v>
      </c>
      <c r="H43" s="46">
        <v>1139</v>
      </c>
    </row>
    <row r="44" spans="2:8" x14ac:dyDescent="0.25">
      <c r="B44" s="46">
        <v>39</v>
      </c>
      <c r="C44" s="46" t="s">
        <v>264</v>
      </c>
      <c r="D44" s="46" t="s">
        <v>265</v>
      </c>
      <c r="E44" s="46" t="s">
        <v>703</v>
      </c>
      <c r="H44" s="46">
        <v>44</v>
      </c>
    </row>
    <row r="45" spans="2:8" x14ac:dyDescent="0.25">
      <c r="B45" s="46">
        <v>40</v>
      </c>
      <c r="C45" s="46" t="s">
        <v>269</v>
      </c>
      <c r="D45" s="46" t="s">
        <v>270</v>
      </c>
      <c r="E45" s="46" t="s">
        <v>704</v>
      </c>
      <c r="F45" s="46" t="s">
        <v>741</v>
      </c>
      <c r="H45" s="46">
        <v>71</v>
      </c>
    </row>
    <row r="46" spans="2:8" x14ac:dyDescent="0.25">
      <c r="B46" s="46">
        <v>41</v>
      </c>
      <c r="C46" s="46" t="s">
        <v>277</v>
      </c>
      <c r="D46" s="46" t="s">
        <v>278</v>
      </c>
      <c r="E46" s="46" t="s">
        <v>704</v>
      </c>
      <c r="H46" s="46">
        <v>897</v>
      </c>
    </row>
    <row r="47" spans="2:8" x14ac:dyDescent="0.25">
      <c r="B47" s="46">
        <v>42</v>
      </c>
      <c r="C47" s="46" t="s">
        <v>282</v>
      </c>
      <c r="D47" s="46" t="s">
        <v>283</v>
      </c>
      <c r="E47" s="46" t="s">
        <v>704</v>
      </c>
      <c r="H47" s="46">
        <v>42</v>
      </c>
    </row>
    <row r="48" spans="2:8" x14ac:dyDescent="0.25">
      <c r="B48" s="46">
        <v>43</v>
      </c>
      <c r="C48" s="46" t="s">
        <v>287</v>
      </c>
      <c r="D48" s="46" t="s">
        <v>288</v>
      </c>
      <c r="E48" s="46" t="s">
        <v>705</v>
      </c>
      <c r="F48" s="46" t="s">
        <v>742</v>
      </c>
      <c r="H48" s="46">
        <v>70</v>
      </c>
    </row>
    <row r="49" spans="2:8" x14ac:dyDescent="0.25">
      <c r="B49" s="46">
        <v>44</v>
      </c>
      <c r="C49" s="46" t="s">
        <v>295</v>
      </c>
      <c r="D49" s="46" t="s">
        <v>296</v>
      </c>
      <c r="E49" s="46" t="s">
        <v>705</v>
      </c>
      <c r="H49" s="46">
        <v>1000</v>
      </c>
    </row>
    <row r="50" spans="2:8" x14ac:dyDescent="0.25">
      <c r="B50" s="46">
        <v>45</v>
      </c>
      <c r="C50" s="46" t="s">
        <v>300</v>
      </c>
      <c r="D50" s="46" t="s">
        <v>301</v>
      </c>
      <c r="E50" s="46" t="s">
        <v>705</v>
      </c>
      <c r="H50" s="46">
        <v>43</v>
      </c>
    </row>
    <row r="51" spans="2:8" x14ac:dyDescent="0.25">
      <c r="B51" s="46">
        <v>46</v>
      </c>
      <c r="C51" s="46" t="s">
        <v>305</v>
      </c>
      <c r="D51" s="46" t="s">
        <v>306</v>
      </c>
      <c r="E51" s="46" t="s">
        <v>706</v>
      </c>
      <c r="F51" s="46" t="s">
        <v>743</v>
      </c>
      <c r="H51" s="46">
        <v>53</v>
      </c>
    </row>
    <row r="52" spans="2:8" x14ac:dyDescent="0.25">
      <c r="B52" s="46">
        <v>47</v>
      </c>
      <c r="C52" s="46" t="s">
        <v>313</v>
      </c>
      <c r="D52" s="46" t="s">
        <v>314</v>
      </c>
      <c r="E52" s="46" t="s">
        <v>706</v>
      </c>
      <c r="H52" s="46">
        <v>450</v>
      </c>
    </row>
    <row r="53" spans="2:8" x14ac:dyDescent="0.25">
      <c r="B53" s="46">
        <v>48</v>
      </c>
      <c r="C53" s="46" t="s">
        <v>318</v>
      </c>
      <c r="D53" s="46" t="s">
        <v>319</v>
      </c>
      <c r="E53" s="46" t="s">
        <v>706</v>
      </c>
      <c r="H53" s="46">
        <v>30</v>
      </c>
    </row>
    <row r="54" spans="2:8" x14ac:dyDescent="0.25">
      <c r="B54" s="46">
        <v>49</v>
      </c>
      <c r="C54" s="46" t="s">
        <v>323</v>
      </c>
      <c r="D54" s="46" t="s">
        <v>324</v>
      </c>
      <c r="E54" s="46" t="s">
        <v>707</v>
      </c>
      <c r="F54" s="46" t="s">
        <v>744</v>
      </c>
      <c r="H54" s="46">
        <v>69</v>
      </c>
    </row>
    <row r="55" spans="2:8" x14ac:dyDescent="0.25">
      <c r="B55" s="46">
        <v>50</v>
      </c>
      <c r="C55" s="46" t="s">
        <v>331</v>
      </c>
      <c r="D55" s="46" t="s">
        <v>332</v>
      </c>
      <c r="E55" s="46" t="s">
        <v>707</v>
      </c>
      <c r="H55" s="46">
        <v>1141</v>
      </c>
    </row>
    <row r="56" spans="2:8" x14ac:dyDescent="0.25">
      <c r="B56" s="46">
        <v>51</v>
      </c>
      <c r="C56" s="46" t="s">
        <v>336</v>
      </c>
      <c r="D56" s="46" t="s">
        <v>337</v>
      </c>
      <c r="E56" s="46" t="s">
        <v>707</v>
      </c>
      <c r="H56" s="46">
        <v>40</v>
      </c>
    </row>
    <row r="57" spans="2:8" x14ac:dyDescent="0.25">
      <c r="B57" s="46">
        <v>52</v>
      </c>
      <c r="C57" s="46" t="s">
        <v>341</v>
      </c>
      <c r="D57" s="46" t="s">
        <v>342</v>
      </c>
      <c r="E57" s="46" t="s">
        <v>708</v>
      </c>
      <c r="F57" s="46" t="s">
        <v>745</v>
      </c>
      <c r="H57" s="46">
        <v>68</v>
      </c>
    </row>
    <row r="58" spans="2:8" x14ac:dyDescent="0.25">
      <c r="B58" s="46">
        <v>53</v>
      </c>
      <c r="C58" s="46" t="s">
        <v>349</v>
      </c>
      <c r="D58" s="46" t="s">
        <v>350</v>
      </c>
      <c r="E58" s="46" t="s">
        <v>708</v>
      </c>
      <c r="H58" s="46">
        <v>973</v>
      </c>
    </row>
    <row r="59" spans="2:8" x14ac:dyDescent="0.25">
      <c r="B59" s="46">
        <v>54</v>
      </c>
      <c r="C59" s="46" t="s">
        <v>354</v>
      </c>
      <c r="D59" s="46" t="s">
        <v>355</v>
      </c>
      <c r="E59" s="46" t="s">
        <v>708</v>
      </c>
      <c r="H59" s="46">
        <v>43</v>
      </c>
    </row>
    <row r="60" spans="2:8" x14ac:dyDescent="0.25">
      <c r="B60" s="46">
        <v>55</v>
      </c>
      <c r="C60" s="46" t="s">
        <v>359</v>
      </c>
      <c r="D60" s="46" t="s">
        <v>360</v>
      </c>
      <c r="E60" s="46" t="s">
        <v>709</v>
      </c>
      <c r="F60" s="46" t="s">
        <v>746</v>
      </c>
      <c r="H60" s="46">
        <v>76</v>
      </c>
    </row>
    <row r="61" spans="2:8" x14ac:dyDescent="0.25">
      <c r="B61" s="46">
        <v>56</v>
      </c>
      <c r="C61" s="46" t="s">
        <v>367</v>
      </c>
      <c r="D61" s="46" t="s">
        <v>368</v>
      </c>
      <c r="E61" s="46" t="s">
        <v>709</v>
      </c>
      <c r="H61" s="46">
        <v>1296</v>
      </c>
    </row>
    <row r="62" spans="2:8" x14ac:dyDescent="0.25">
      <c r="B62" s="46">
        <v>57</v>
      </c>
      <c r="C62" s="46" t="s">
        <v>372</v>
      </c>
      <c r="D62" s="46" t="s">
        <v>373</v>
      </c>
      <c r="E62" s="46" t="s">
        <v>709</v>
      </c>
      <c r="H62" s="46">
        <v>44</v>
      </c>
    </row>
    <row r="63" spans="2:8" x14ac:dyDescent="0.25">
      <c r="B63" s="46">
        <v>58</v>
      </c>
      <c r="C63" s="46" t="s">
        <v>377</v>
      </c>
      <c r="D63" s="46" t="s">
        <v>378</v>
      </c>
      <c r="E63" s="46" t="s">
        <v>710</v>
      </c>
      <c r="F63" s="46" t="s">
        <v>749</v>
      </c>
      <c r="H63" s="46">
        <v>69</v>
      </c>
    </row>
    <row r="64" spans="2:8" x14ac:dyDescent="0.25">
      <c r="B64" s="46">
        <v>59</v>
      </c>
      <c r="C64" s="46" t="s">
        <v>385</v>
      </c>
      <c r="D64" s="46" t="s">
        <v>386</v>
      </c>
      <c r="E64" s="46" t="s">
        <v>710</v>
      </c>
      <c r="H64" s="46">
        <v>983</v>
      </c>
    </row>
    <row r="65" spans="2:8" x14ac:dyDescent="0.25">
      <c r="B65" s="46">
        <v>60</v>
      </c>
      <c r="C65" s="46" t="s">
        <v>390</v>
      </c>
      <c r="D65" s="46" t="s">
        <v>391</v>
      </c>
      <c r="E65" s="46" t="s">
        <v>710</v>
      </c>
      <c r="H65" s="46">
        <v>37</v>
      </c>
    </row>
    <row r="66" spans="2:8" x14ac:dyDescent="0.25">
      <c r="B66" s="46">
        <v>61</v>
      </c>
      <c r="C66" s="46" t="s">
        <v>395</v>
      </c>
      <c r="D66" s="46" t="s">
        <v>396</v>
      </c>
      <c r="E66" s="46" t="s">
        <v>711</v>
      </c>
      <c r="F66" s="46" t="s">
        <v>750</v>
      </c>
      <c r="H66" s="46">
        <v>67</v>
      </c>
    </row>
    <row r="67" spans="2:8" x14ac:dyDescent="0.25">
      <c r="B67" s="46">
        <v>62</v>
      </c>
      <c r="C67" s="46" t="s">
        <v>403</v>
      </c>
      <c r="D67" s="46" t="s">
        <v>404</v>
      </c>
      <c r="E67" s="46" t="s">
        <v>711</v>
      </c>
      <c r="H67" s="46">
        <v>970</v>
      </c>
    </row>
    <row r="68" spans="2:8" x14ac:dyDescent="0.25">
      <c r="B68" s="46">
        <v>63</v>
      </c>
      <c r="C68" s="46" t="s">
        <v>408</v>
      </c>
      <c r="D68" s="46" t="s">
        <v>409</v>
      </c>
      <c r="E68" s="46" t="s">
        <v>711</v>
      </c>
      <c r="H68" s="46">
        <v>41</v>
      </c>
    </row>
    <row r="69" spans="2:8" x14ac:dyDescent="0.25">
      <c r="B69" s="46">
        <v>64</v>
      </c>
      <c r="C69" s="46" t="s">
        <v>413</v>
      </c>
      <c r="D69" s="46" t="s">
        <v>414</v>
      </c>
      <c r="E69" s="46" t="s">
        <v>712</v>
      </c>
      <c r="F69" s="46" t="s">
        <v>747</v>
      </c>
      <c r="H69" s="46">
        <v>70</v>
      </c>
    </row>
    <row r="70" spans="2:8" x14ac:dyDescent="0.25">
      <c r="B70" s="46">
        <v>65</v>
      </c>
      <c r="C70" s="46" t="s">
        <v>421</v>
      </c>
      <c r="D70" s="46" t="s">
        <v>422</v>
      </c>
      <c r="E70" s="46" t="s">
        <v>712</v>
      </c>
      <c r="H70" s="46">
        <v>794</v>
      </c>
    </row>
    <row r="71" spans="2:8" x14ac:dyDescent="0.25">
      <c r="B71" s="46">
        <v>66</v>
      </c>
      <c r="C71" s="46" t="s">
        <v>426</v>
      </c>
      <c r="D71" s="46" t="s">
        <v>427</v>
      </c>
      <c r="E71" s="46" t="s">
        <v>712</v>
      </c>
      <c r="H71" s="46">
        <v>42</v>
      </c>
    </row>
    <row r="72" spans="2:8" x14ac:dyDescent="0.25">
      <c r="B72" s="46">
        <v>67</v>
      </c>
      <c r="C72" s="46" t="s">
        <v>431</v>
      </c>
      <c r="D72" s="46" t="s">
        <v>432</v>
      </c>
      <c r="E72" s="46" t="s">
        <v>713</v>
      </c>
      <c r="F72" s="46" t="s">
        <v>748</v>
      </c>
      <c r="H72" s="46">
        <v>69</v>
      </c>
    </row>
    <row r="73" spans="2:8" x14ac:dyDescent="0.25">
      <c r="B73" s="46">
        <v>68</v>
      </c>
      <c r="C73" s="46" t="s">
        <v>439</v>
      </c>
      <c r="D73" s="46" t="s">
        <v>440</v>
      </c>
      <c r="E73" s="46" t="s">
        <v>713</v>
      </c>
      <c r="H73" s="46">
        <v>943</v>
      </c>
    </row>
    <row r="74" spans="2:8" x14ac:dyDescent="0.25">
      <c r="B74" s="46">
        <v>69</v>
      </c>
      <c r="C74" s="46" t="s">
        <v>444</v>
      </c>
      <c r="D74" s="46" t="s">
        <v>445</v>
      </c>
      <c r="E74" s="46" t="s">
        <v>713</v>
      </c>
      <c r="H74" s="46">
        <v>46</v>
      </c>
    </row>
    <row r="75" spans="2:8" x14ac:dyDescent="0.25">
      <c r="B75" s="46">
        <v>70</v>
      </c>
      <c r="C75" s="46" t="s">
        <v>449</v>
      </c>
      <c r="D75" s="46" t="s">
        <v>450</v>
      </c>
      <c r="E75" s="46" t="s">
        <v>714</v>
      </c>
      <c r="F75" s="46" t="s">
        <v>751</v>
      </c>
      <c r="H75" s="46">
        <v>73</v>
      </c>
    </row>
    <row r="76" spans="2:8" x14ac:dyDescent="0.25">
      <c r="B76" s="46">
        <v>71</v>
      </c>
      <c r="C76" s="46" t="s">
        <v>457</v>
      </c>
      <c r="D76" s="46" t="s">
        <v>458</v>
      </c>
      <c r="E76" s="46" t="s">
        <v>714</v>
      </c>
      <c r="H76" s="46">
        <v>1229</v>
      </c>
    </row>
    <row r="77" spans="2:8" x14ac:dyDescent="0.25">
      <c r="B77" s="46">
        <v>72</v>
      </c>
      <c r="C77" s="46" t="s">
        <v>462</v>
      </c>
      <c r="D77" s="46" t="s">
        <v>463</v>
      </c>
      <c r="E77" s="46" t="s">
        <v>714</v>
      </c>
      <c r="H77" s="46">
        <v>40</v>
      </c>
    </row>
    <row r="78" spans="2:8" x14ac:dyDescent="0.25">
      <c r="B78" s="46">
        <v>73</v>
      </c>
      <c r="C78" s="46" t="s">
        <v>467</v>
      </c>
      <c r="D78" s="46" t="s">
        <v>468</v>
      </c>
      <c r="E78" s="46" t="s">
        <v>715</v>
      </c>
      <c r="F78" s="46" t="s">
        <v>752</v>
      </c>
      <c r="H78" s="46">
        <v>72</v>
      </c>
    </row>
    <row r="79" spans="2:8" x14ac:dyDescent="0.25">
      <c r="B79" s="46">
        <v>74</v>
      </c>
      <c r="C79" s="46" t="s">
        <v>475</v>
      </c>
      <c r="D79" s="46" t="s">
        <v>476</v>
      </c>
      <c r="E79" s="46" t="s">
        <v>715</v>
      </c>
      <c r="H79" s="46">
        <v>1156</v>
      </c>
    </row>
    <row r="80" spans="2:8" x14ac:dyDescent="0.25">
      <c r="B80" s="46">
        <v>75</v>
      </c>
      <c r="C80" s="46" t="s">
        <v>480</v>
      </c>
      <c r="D80" s="46" t="s">
        <v>481</v>
      </c>
      <c r="E80" s="46" t="s">
        <v>715</v>
      </c>
      <c r="H80" s="46">
        <v>50</v>
      </c>
    </row>
    <row r="81" spans="2:8" x14ac:dyDescent="0.25">
      <c r="B81" s="46">
        <v>76</v>
      </c>
      <c r="C81" s="46" t="s">
        <v>485</v>
      </c>
      <c r="D81" s="46" t="s">
        <v>486</v>
      </c>
      <c r="E81" s="46" t="s">
        <v>716</v>
      </c>
      <c r="F81" s="46" t="s">
        <v>753</v>
      </c>
      <c r="H81" s="46">
        <v>73</v>
      </c>
    </row>
    <row r="82" spans="2:8" x14ac:dyDescent="0.25">
      <c r="B82" s="46">
        <v>77</v>
      </c>
      <c r="C82" s="46" t="s">
        <v>493</v>
      </c>
      <c r="D82" s="46" t="s">
        <v>494</v>
      </c>
      <c r="E82" s="46" t="s">
        <v>716</v>
      </c>
      <c r="H82" s="46">
        <v>1064</v>
      </c>
    </row>
    <row r="83" spans="2:8" x14ac:dyDescent="0.25">
      <c r="B83" s="46">
        <v>78</v>
      </c>
      <c r="C83" s="46" t="s">
        <v>498</v>
      </c>
      <c r="D83" s="46" t="s">
        <v>499</v>
      </c>
      <c r="E83" s="46" t="s">
        <v>716</v>
      </c>
      <c r="H83" s="46">
        <v>44</v>
      </c>
    </row>
    <row r="84" spans="2:8" x14ac:dyDescent="0.25">
      <c r="B84" s="46">
        <v>79</v>
      </c>
      <c r="C84" s="46" t="s">
        <v>503</v>
      </c>
      <c r="D84" s="46" t="s">
        <v>504</v>
      </c>
      <c r="E84" s="46" t="s">
        <v>717</v>
      </c>
      <c r="F84" s="46" t="s">
        <v>754</v>
      </c>
      <c r="H84" s="46">
        <v>352</v>
      </c>
    </row>
    <row r="85" spans="2:8" x14ac:dyDescent="0.25">
      <c r="B85" s="46">
        <v>80</v>
      </c>
      <c r="C85" s="46" t="s">
        <v>511</v>
      </c>
      <c r="D85" s="46" t="s">
        <v>512</v>
      </c>
      <c r="E85" s="46" t="s">
        <v>717</v>
      </c>
      <c r="H85" s="46">
        <v>5412</v>
      </c>
    </row>
    <row r="86" spans="2:8" x14ac:dyDescent="0.25">
      <c r="B86" s="46">
        <v>81</v>
      </c>
      <c r="C86" s="46" t="s">
        <v>516</v>
      </c>
      <c r="D86" s="46" t="s">
        <v>517</v>
      </c>
      <c r="E86" s="46" t="s">
        <v>717</v>
      </c>
      <c r="H86" s="46">
        <v>181</v>
      </c>
    </row>
    <row r="87" spans="2:8" x14ac:dyDescent="0.25">
      <c r="B87" s="46">
        <v>82</v>
      </c>
      <c r="C87" s="46" t="s">
        <v>521</v>
      </c>
      <c r="D87" s="46" t="s">
        <v>522</v>
      </c>
      <c r="E87" s="46" t="s">
        <v>718</v>
      </c>
      <c r="F87" s="46" t="s">
        <v>755</v>
      </c>
      <c r="H87" s="46">
        <v>63</v>
      </c>
    </row>
    <row r="88" spans="2:8" x14ac:dyDescent="0.25">
      <c r="B88" s="46">
        <v>83</v>
      </c>
      <c r="C88" s="46" t="s">
        <v>529</v>
      </c>
      <c r="D88" s="46" t="s">
        <v>530</v>
      </c>
      <c r="E88" s="46" t="s">
        <v>718</v>
      </c>
      <c r="H88" s="46">
        <v>989</v>
      </c>
    </row>
    <row r="89" spans="2:8" x14ac:dyDescent="0.25">
      <c r="B89" s="46">
        <v>84</v>
      </c>
      <c r="C89" s="46" t="s">
        <v>534</v>
      </c>
      <c r="D89" s="46" t="s">
        <v>535</v>
      </c>
      <c r="E89" s="46" t="s">
        <v>718</v>
      </c>
      <c r="H89" s="46">
        <v>34</v>
      </c>
    </row>
    <row r="90" spans="2:8" x14ac:dyDescent="0.25">
      <c r="B90" s="46">
        <v>85</v>
      </c>
      <c r="C90" s="46" t="s">
        <v>539</v>
      </c>
      <c r="D90" s="46" t="s">
        <v>540</v>
      </c>
      <c r="E90" s="46" t="s">
        <v>719</v>
      </c>
      <c r="F90" s="46" t="s">
        <v>756</v>
      </c>
      <c r="H90" s="46">
        <v>92</v>
      </c>
    </row>
    <row r="91" spans="2:8" x14ac:dyDescent="0.25">
      <c r="B91" s="46">
        <v>86</v>
      </c>
      <c r="C91" s="46" t="s">
        <v>547</v>
      </c>
      <c r="D91" s="46" t="s">
        <v>548</v>
      </c>
      <c r="E91" s="46" t="s">
        <v>719</v>
      </c>
      <c r="H91" s="46">
        <v>1247</v>
      </c>
    </row>
    <row r="92" spans="2:8" x14ac:dyDescent="0.25">
      <c r="B92" s="46">
        <v>87</v>
      </c>
      <c r="C92" s="46" t="s">
        <v>552</v>
      </c>
      <c r="D92" s="46" t="s">
        <v>553</v>
      </c>
      <c r="E92" s="46" t="s">
        <v>719</v>
      </c>
      <c r="H92" s="46">
        <v>57</v>
      </c>
    </row>
    <row r="93" spans="2:8" x14ac:dyDescent="0.25">
      <c r="B93" s="46">
        <v>88</v>
      </c>
      <c r="C93" s="46" t="s">
        <v>557</v>
      </c>
      <c r="D93" s="46" t="s">
        <v>558</v>
      </c>
      <c r="E93" s="46" t="s">
        <v>720</v>
      </c>
      <c r="F93" s="46" t="s">
        <v>757</v>
      </c>
      <c r="H93" s="46">
        <v>51</v>
      </c>
    </row>
    <row r="94" spans="2:8" x14ac:dyDescent="0.25">
      <c r="B94" s="46">
        <v>89</v>
      </c>
      <c r="C94" s="46" t="s">
        <v>565</v>
      </c>
      <c r="D94" s="46" t="s">
        <v>566</v>
      </c>
      <c r="E94" s="46" t="s">
        <v>720</v>
      </c>
      <c r="H94" s="46">
        <v>677</v>
      </c>
    </row>
    <row r="95" spans="2:8" x14ac:dyDescent="0.25">
      <c r="B95" s="46">
        <v>90</v>
      </c>
      <c r="C95" s="46" t="s">
        <v>570</v>
      </c>
      <c r="D95" s="46" t="s">
        <v>571</v>
      </c>
      <c r="E95" s="46" t="s">
        <v>720</v>
      </c>
      <c r="H95" s="46">
        <v>40</v>
      </c>
    </row>
    <row r="96" spans="2:8" x14ac:dyDescent="0.25">
      <c r="B96" s="46">
        <v>91</v>
      </c>
      <c r="C96" s="46" t="s">
        <v>575</v>
      </c>
      <c r="D96" s="46" t="s">
        <v>576</v>
      </c>
      <c r="E96" s="46" t="s">
        <v>721</v>
      </c>
      <c r="F96" s="46" t="s">
        <v>758</v>
      </c>
      <c r="H96" s="46">
        <v>70</v>
      </c>
    </row>
    <row r="97" spans="2:8" x14ac:dyDescent="0.25">
      <c r="B97" s="46">
        <v>92</v>
      </c>
      <c r="C97" s="46" t="s">
        <v>583</v>
      </c>
      <c r="D97" s="46" t="s">
        <v>584</v>
      </c>
      <c r="E97" s="46" t="s">
        <v>721</v>
      </c>
      <c r="H97" s="46">
        <v>1265</v>
      </c>
    </row>
    <row r="98" spans="2:8" x14ac:dyDescent="0.25">
      <c r="B98" s="46">
        <v>93</v>
      </c>
      <c r="C98" s="46" t="s">
        <v>588</v>
      </c>
      <c r="D98" s="46" t="s">
        <v>589</v>
      </c>
      <c r="E98" s="46" t="s">
        <v>721</v>
      </c>
      <c r="H98" s="46">
        <v>41</v>
      </c>
    </row>
    <row r="99" spans="2:8" x14ac:dyDescent="0.25">
      <c r="B99" s="46">
        <v>94</v>
      </c>
      <c r="C99" s="46" t="s">
        <v>593</v>
      </c>
      <c r="D99" s="46" t="s">
        <v>594</v>
      </c>
      <c r="E99" s="46" t="s">
        <v>722</v>
      </c>
      <c r="F99" s="46" t="s">
        <v>759</v>
      </c>
      <c r="H99" s="46">
        <v>74</v>
      </c>
    </row>
    <row r="100" spans="2:8" x14ac:dyDescent="0.25">
      <c r="B100" s="46">
        <v>95</v>
      </c>
      <c r="C100" s="46" t="s">
        <v>601</v>
      </c>
      <c r="D100" s="46" t="s">
        <v>602</v>
      </c>
      <c r="E100" s="46" t="s">
        <v>722</v>
      </c>
      <c r="H100" s="46">
        <v>950</v>
      </c>
    </row>
    <row r="101" spans="2:8" x14ac:dyDescent="0.25">
      <c r="B101" s="46">
        <v>96</v>
      </c>
      <c r="C101" s="46" t="s">
        <v>606</v>
      </c>
      <c r="D101" s="46" t="s">
        <v>607</v>
      </c>
      <c r="E101" s="46" t="s">
        <v>722</v>
      </c>
      <c r="H101" s="46">
        <v>43</v>
      </c>
    </row>
    <row r="102" spans="2:8" x14ac:dyDescent="0.25">
      <c r="B102" s="46">
        <v>97</v>
      </c>
      <c r="C102" s="46" t="s">
        <v>611</v>
      </c>
      <c r="D102" s="46" t="s">
        <v>612</v>
      </c>
      <c r="E102" s="46" t="s">
        <v>723</v>
      </c>
      <c r="F102" s="46" t="s">
        <v>760</v>
      </c>
      <c r="G102" s="46" t="s">
        <v>762</v>
      </c>
      <c r="H102" s="46">
        <v>21</v>
      </c>
    </row>
    <row r="103" spans="2:8" x14ac:dyDescent="0.25">
      <c r="B103" s="46">
        <v>98</v>
      </c>
      <c r="C103" s="46" t="s">
        <v>619</v>
      </c>
      <c r="D103" s="46" t="s">
        <v>620</v>
      </c>
      <c r="E103" s="46" t="s">
        <v>723</v>
      </c>
      <c r="H103" s="46">
        <v>210</v>
      </c>
    </row>
    <row r="104" spans="2:8" x14ac:dyDescent="0.25">
      <c r="B104" s="46">
        <v>99</v>
      </c>
      <c r="C104" s="46" t="s">
        <v>624</v>
      </c>
      <c r="D104" s="46" t="s">
        <v>625</v>
      </c>
      <c r="E104" s="46" t="s">
        <v>723</v>
      </c>
      <c r="H104" s="46">
        <v>13</v>
      </c>
    </row>
    <row r="105" spans="2:8" x14ac:dyDescent="0.25">
      <c r="B105" s="46">
        <v>100</v>
      </c>
      <c r="C105" s="46" t="s">
        <v>629</v>
      </c>
      <c r="D105" s="46" t="s">
        <v>630</v>
      </c>
      <c r="E105" s="46" t="s">
        <v>724</v>
      </c>
      <c r="F105" s="46" t="s">
        <v>761</v>
      </c>
      <c r="G105" s="46" t="s">
        <v>762</v>
      </c>
      <c r="H105" s="46">
        <v>24</v>
      </c>
    </row>
    <row r="106" spans="2:8" x14ac:dyDescent="0.25">
      <c r="B106" s="46">
        <v>101</v>
      </c>
      <c r="C106" s="46" t="s">
        <v>637</v>
      </c>
      <c r="D106" s="46" t="s">
        <v>638</v>
      </c>
      <c r="E106" s="46" t="s">
        <v>724</v>
      </c>
      <c r="H106" s="46">
        <v>289</v>
      </c>
    </row>
    <row r="107" spans="2:8" x14ac:dyDescent="0.25">
      <c r="B107" s="46">
        <v>102</v>
      </c>
      <c r="C107" s="46" t="s">
        <v>642</v>
      </c>
      <c r="D107" s="46" t="s">
        <v>643</v>
      </c>
      <c r="E107" s="46" t="s">
        <v>724</v>
      </c>
      <c r="H107" s="46">
        <v>17</v>
      </c>
    </row>
    <row r="108" spans="2:8" x14ac:dyDescent="0.25">
      <c r="B108" s="46">
        <v>103</v>
      </c>
      <c r="C108" s="46" t="s">
        <v>647</v>
      </c>
      <c r="D108" s="46" t="s">
        <v>648</v>
      </c>
      <c r="E108" s="46" t="s">
        <v>725</v>
      </c>
      <c r="F108" s="46" t="s">
        <v>763</v>
      </c>
      <c r="G108" s="46" t="s">
        <v>762</v>
      </c>
      <c r="H108" s="46">
        <v>21</v>
      </c>
    </row>
    <row r="109" spans="2:8" x14ac:dyDescent="0.25">
      <c r="B109" s="46">
        <v>104</v>
      </c>
      <c r="C109" s="46" t="s">
        <v>655</v>
      </c>
      <c r="D109" s="46" t="s">
        <v>656</v>
      </c>
      <c r="E109" s="46" t="s">
        <v>725</v>
      </c>
      <c r="H109" s="46">
        <v>264</v>
      </c>
    </row>
    <row r="110" spans="2:8" x14ac:dyDescent="0.25">
      <c r="B110" s="46">
        <v>105</v>
      </c>
      <c r="C110" s="46" t="s">
        <v>660</v>
      </c>
      <c r="D110" s="46" t="s">
        <v>661</v>
      </c>
      <c r="E110" s="46" t="s">
        <v>725</v>
      </c>
      <c r="H110" s="46">
        <v>10</v>
      </c>
    </row>
    <row r="111" spans="2:8" x14ac:dyDescent="0.25">
      <c r="B111" s="46">
        <v>106</v>
      </c>
      <c r="C111" s="46" t="s">
        <v>665</v>
      </c>
      <c r="D111" s="46" t="s">
        <v>666</v>
      </c>
      <c r="E111" s="46" t="s">
        <v>726</v>
      </c>
      <c r="F111" s="46" t="s">
        <v>764</v>
      </c>
      <c r="G111" s="46" t="s">
        <v>762</v>
      </c>
      <c r="H111" s="46">
        <v>22</v>
      </c>
    </row>
    <row r="112" spans="2:8" x14ac:dyDescent="0.25">
      <c r="B112" s="46">
        <v>107</v>
      </c>
      <c r="C112" s="46" t="s">
        <v>673</v>
      </c>
      <c r="D112" s="46" t="s">
        <v>674</v>
      </c>
      <c r="E112" s="46" t="s">
        <v>726</v>
      </c>
      <c r="H112" s="46">
        <v>225</v>
      </c>
    </row>
    <row r="113" spans="2:8" x14ac:dyDescent="0.25">
      <c r="B113" s="46">
        <v>108</v>
      </c>
      <c r="C113" s="46" t="s">
        <v>678</v>
      </c>
      <c r="D113" s="46" t="s">
        <v>679</v>
      </c>
      <c r="E113" s="46" t="s">
        <v>726</v>
      </c>
      <c r="H113" s="46">
        <v>13</v>
      </c>
    </row>
    <row r="114" spans="2:8" x14ac:dyDescent="0.25">
      <c r="B114" s="46">
        <v>109</v>
      </c>
      <c r="C114" s="46" t="s">
        <v>683</v>
      </c>
      <c r="D114" s="46" t="s">
        <v>684</v>
      </c>
      <c r="E114" s="46" t="s">
        <v>727</v>
      </c>
      <c r="F114" s="46" t="s">
        <v>765</v>
      </c>
      <c r="H114" s="46">
        <v>265</v>
      </c>
    </row>
  </sheetData>
  <sheetProtection algorithmName="SHA-512" hashValue="Lj8H9yfqPvkm+67CwTH50E97U7UGQWe7R/fH4QpoXPDZdUrm8dFulFj9cv5yn2l4mCvhLm7NcKcuwnnfy7iPNg==" saltValue="3ELAUoITUygYbKsauWPZ+A==" spinCount="100000" sheet="1" objects="1" scenarios="1" selectLockedCells="1"/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e">
        <f>_xlfn.CONCAT("Diretor Geral - Câmpus ",VLOOKUP($H$3,campus!$A$2:$C$38,3))</f>
        <v>#N/A</v>
      </c>
      <c r="H3" s="34"/>
    </row>
    <row r="5" spans="1:13" ht="15.75" thickBot="1" x14ac:dyDescent="0.3">
      <c r="K5" s="2">
        <f>LARGE(D22:D22,1)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e">
        <f>VLOOKUP($H$3,campus!$A$2:$P$37,6)</f>
        <v>#N/A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e">
        <f>VLOOKUP(3*$H$3-2,urnas!$B$6:$D$114,2)</f>
        <v>#N/A</v>
      </c>
      <c r="C8" s="22" t="e">
        <f>VLOOKUP(3*$H$3-2,urnas!$B$6:$D$114,3)</f>
        <v>#N/A</v>
      </c>
      <c r="D8" s="17"/>
      <c r="E8" s="17"/>
      <c r="F8" s="17"/>
      <c r="G8" s="8">
        <f>SUM(D8:F8)</f>
        <v>0</v>
      </c>
      <c r="H8" s="15" t="e">
        <f>VLOOKUP(B8,urnas!$C$6:$H$114,6)</f>
        <v>#N/A</v>
      </c>
      <c r="K8" s="2"/>
      <c r="L8" s="2"/>
      <c r="M8" s="2"/>
    </row>
    <row r="9" spans="1:13" ht="33.950000000000003" customHeight="1" x14ac:dyDescent="0.25">
      <c r="B9" s="9" t="e">
        <f>VLOOKUP(3*$H$3-1,urnas!$B$6:$D$114,2)</f>
        <v>#N/A</v>
      </c>
      <c r="C9" s="22" t="e">
        <f>VLOOKUP(3*$H$3-1,urnas!$B$6:$D$114,3)</f>
        <v>#N/A</v>
      </c>
      <c r="D9" s="17"/>
      <c r="E9" s="17"/>
      <c r="F9" s="17"/>
      <c r="G9" s="8">
        <f>SUM(D9:F9)</f>
        <v>0</v>
      </c>
      <c r="H9" s="15" t="e">
        <f>VLOOKUP(B9,urnas!$C$6:$H$114,6)</f>
        <v>#N/A</v>
      </c>
      <c r="K9" s="2"/>
      <c r="L9" s="2"/>
      <c r="M9" s="2"/>
    </row>
    <row r="10" spans="1:13" ht="33.950000000000003" customHeight="1" thickBot="1" x14ac:dyDescent="0.3">
      <c r="B10" s="10" t="e">
        <f>VLOOKUP(3*$H$3,urnas!$B$6:$D$114,2)</f>
        <v>#N/A</v>
      </c>
      <c r="C10" s="23" t="e">
        <f>VLOOKUP(3*$H$3,urnas!$B$6:$D$114,3)</f>
        <v>#N/A</v>
      </c>
      <c r="D10" s="17"/>
      <c r="E10" s="17"/>
      <c r="F10" s="17"/>
      <c r="G10" s="11">
        <f>SUM(D10:F10)</f>
        <v>0</v>
      </c>
      <c r="H10" s="16" t="e">
        <f>VLOOKUP(B10,urnas!$C$6:$H$114,6)</f>
        <v>#N/A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e">
        <f>VLOOKUP($H$3,campus!$A$2:$P$37,6)</f>
        <v>#N/A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842</v>
      </c>
      <c r="D19" s="32">
        <f>IF(ISBLANK(D8),0,100*(1/3*(D8/$H8)))</f>
        <v>0</v>
      </c>
    </row>
    <row r="20" spans="2:11" ht="24.95" customHeight="1" x14ac:dyDescent="0.25">
      <c r="B20" s="12"/>
      <c r="C20" s="9" t="s">
        <v>843</v>
      </c>
      <c r="D20" s="32">
        <f>IF(ISBLANK(D9),0,100*(1/3*(D9/$H9)))</f>
        <v>0</v>
      </c>
      <c r="F20" s="5" t="str">
        <f>IF(COUNTA(D8:F10)=9,"Eleição encerrada no primeiro turno.","")</f>
        <v/>
      </c>
    </row>
    <row r="21" spans="2:11" ht="24.95" customHeight="1" x14ac:dyDescent="0.25">
      <c r="B21" s="12"/>
      <c r="C21" s="9" t="s">
        <v>51</v>
      </c>
      <c r="D21" s="32">
        <f>IF(ISBLANK(D10),0,100*(1/3*(D10/$H10)))</f>
        <v>0</v>
      </c>
      <c r="F21" s="5"/>
    </row>
    <row r="22" spans="2:11" ht="16.5" thickBot="1" x14ac:dyDescent="0.3">
      <c r="C22" s="24" t="s">
        <v>848</v>
      </c>
      <c r="D22" s="25">
        <f>SUM(D19:D21)</f>
        <v>0</v>
      </c>
    </row>
    <row r="23" spans="2:11" x14ac:dyDescent="0.25">
      <c r="D23" s="2" t="e">
        <f>D18</f>
        <v>#N/A</v>
      </c>
    </row>
    <row r="28" spans="2:11" ht="24.95" customHeight="1" x14ac:dyDescent="0.25"/>
    <row r="29" spans="2:11" ht="33.950000000000003" customHeight="1" x14ac:dyDescent="0.25"/>
    <row r="30" spans="2:11" ht="33.950000000000003" customHeight="1" x14ac:dyDescent="0.25"/>
    <row r="31" spans="2:11" ht="33.950000000000003" customHeight="1" x14ac:dyDescent="0.25"/>
  </sheetData>
  <sheetProtection algorithmName="SHA-512" hashValue="+z8O/MnTWxk5X/whGOX3hB0jLnpa348sIAjyv+LtGLB55GotnPautYudl2gqf5R99UAs61D60ErqYtdYZNf26w==" saltValue="jXoOtpAxJDFauCSiPiLzrg==" spinCount="100000"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O31"/>
  <sheetViews>
    <sheetView topLeftCell="D1"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e">
        <f>_xlfn.CONCAT("Diretor Geral - Câmpus ",VLOOKUP($H$3,campus!$A$2:$C$38,3))</f>
        <v>#N/A</v>
      </c>
      <c r="H3" s="34"/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e">
        <f>VLOOKUP($H$3,campus!$A$2:$P$37,6)</f>
        <v>#N/A</v>
      </c>
      <c r="E7" s="6" t="e">
        <f>VLOOKUP($H$3,campus!$A$2:$P$37,7)</f>
        <v>#N/A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e">
        <f>VLOOKUP(3*$H$3-2,urnas!$B$6:$D$114,2)</f>
        <v>#N/A</v>
      </c>
      <c r="C8" s="22" t="e">
        <f>VLOOKUP(3*$H$3-2,urnas!$B$6:$D$114,3)</f>
        <v>#N/A</v>
      </c>
      <c r="D8" s="17"/>
      <c r="E8" s="17"/>
      <c r="F8" s="17"/>
      <c r="G8" s="17"/>
      <c r="H8" s="8">
        <f>SUM(D8:G8)</f>
        <v>0</v>
      </c>
      <c r="I8" s="15" t="e">
        <f>VLOOKUP(B8,urnas!$C$6:$H$114,6)</f>
        <v>#N/A</v>
      </c>
      <c r="L8" s="2"/>
      <c r="M8" s="2"/>
      <c r="N8" s="2"/>
      <c r="O8" s="2"/>
    </row>
    <row r="9" spans="1:15" ht="33.950000000000003" customHeight="1" x14ac:dyDescent="0.25">
      <c r="B9" s="9" t="e">
        <f>VLOOKUP(3*$H$3-1,urnas!$B$6:$D$114,2)</f>
        <v>#N/A</v>
      </c>
      <c r="C9" s="22" t="e">
        <f>VLOOKUP(3*$H$3-1,urnas!$B$6:$D$114,3)</f>
        <v>#N/A</v>
      </c>
      <c r="D9" s="17"/>
      <c r="E9" s="17"/>
      <c r="F9" s="17"/>
      <c r="G9" s="17"/>
      <c r="H9" s="8">
        <f>SUM(D9:G9)</f>
        <v>0</v>
      </c>
      <c r="I9" s="15" t="e">
        <f>VLOOKUP(B9,urnas!$C$6:$H$114,6)</f>
        <v>#N/A</v>
      </c>
      <c r="L9" s="2"/>
      <c r="M9" s="2"/>
      <c r="N9" s="2"/>
      <c r="O9" s="2"/>
    </row>
    <row r="10" spans="1:15" ht="33.950000000000003" customHeight="1" thickBot="1" x14ac:dyDescent="0.3">
      <c r="B10" s="10" t="e">
        <f>VLOOKUP(3*$H$3,urnas!$B$6:$D$114,2)</f>
        <v>#N/A</v>
      </c>
      <c r="C10" s="23" t="e">
        <f>VLOOKUP(3*$H$3,urnas!$B$6:$D$114,3)</f>
        <v>#N/A</v>
      </c>
      <c r="D10" s="17"/>
      <c r="E10" s="17"/>
      <c r="F10" s="17"/>
      <c r="G10" s="17"/>
      <c r="H10" s="11">
        <f>SUM(D10:G10)</f>
        <v>0</v>
      </c>
      <c r="I10" s="16" t="e">
        <f>VLOOKUP(B10,urnas!$C$6:$H$114,6)</f>
        <v>#N/A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e">
        <f>VLOOKUP($H$3,campus!$A$2:$P$37,6)</f>
        <v>#N/A</v>
      </c>
      <c r="E18" s="6" t="e">
        <f>VLOOKUP($H$3,campus!$A$2:$P$37,7)</f>
        <v>#N/A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e">
        <f>D18</f>
        <v>#N/A</v>
      </c>
      <c r="E23" s="2" t="e">
        <f>E18</f>
        <v>#N/A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algorithmName="SHA-512" hashValue="TvLwjiqTTtpm9/DiIaVe7VyPlV7OVyYrPCXMGQ5J+ZgzOjP/0bCNU5szWWCcgVGZU7kpZgWCJXpBanu4IEroVQ==" saltValue="5qt8HC+Cjj0Hfj+M1pt7Kg==" spinCount="100000"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Q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6" width="25.7109375" style="1" customWidth="1"/>
    <col min="7" max="9" width="10.7109375" style="1" customWidth="1"/>
    <col min="10" max="10" width="18.5703125" style="1" bestFit="1" customWidth="1"/>
    <col min="11" max="16384" width="9.140625" style="1"/>
  </cols>
  <sheetData>
    <row r="1" spans="1:17" x14ac:dyDescent="0.25">
      <c r="A1" s="2">
        <v>1</v>
      </c>
    </row>
    <row r="2" spans="1:17" ht="28.5" x14ac:dyDescent="0.25">
      <c r="B2" s="4" t="s">
        <v>766</v>
      </c>
    </row>
    <row r="3" spans="1:17" ht="23.25" x14ac:dyDescent="0.25">
      <c r="B3" s="5" t="e">
        <f>_xlfn.CONCAT("Diretor Geral - Câmpus ",VLOOKUP($H$3,campus!$A$2:$C$38,3))</f>
        <v>#N/A</v>
      </c>
      <c r="H3" s="34"/>
    </row>
    <row r="5" spans="1:17" ht="15.75" thickBot="1" x14ac:dyDescent="0.3">
      <c r="M5" s="2">
        <f>LARGE(D22:F22,1)</f>
        <v>0</v>
      </c>
      <c r="N5" s="2">
        <f>LARGE(D22:F22,2)</f>
        <v>0</v>
      </c>
      <c r="O5" s="2">
        <f>LARGE(D22:F22,3)</f>
        <v>0</v>
      </c>
      <c r="P5" s="2"/>
      <c r="Q5" s="2"/>
    </row>
    <row r="6" spans="1:17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1"/>
      <c r="I6" s="55"/>
      <c r="J6" s="56" t="s">
        <v>839</v>
      </c>
      <c r="M6" s="2" t="s">
        <v>849</v>
      </c>
      <c r="N6" s="2" t="s">
        <v>850</v>
      </c>
      <c r="O6" s="2" t="s">
        <v>851</v>
      </c>
      <c r="P6" s="2"/>
      <c r="Q6" s="2"/>
    </row>
    <row r="7" spans="1:17" ht="51" customHeight="1" x14ac:dyDescent="0.25">
      <c r="B7" s="49"/>
      <c r="C7" s="54"/>
      <c r="D7" s="6" t="e">
        <f>VLOOKUP($H$3,campus!$A$2:$P$37,6)</f>
        <v>#N/A</v>
      </c>
      <c r="E7" s="6" t="e">
        <f>VLOOKUP($H$3,campus!$A$2:$P$37,7)</f>
        <v>#N/A</v>
      </c>
      <c r="F7" s="6" t="e">
        <f>VLOOKUP($H$3,campus!$A$2:$P$37,8)</f>
        <v>#N/A</v>
      </c>
      <c r="G7" s="7" t="s">
        <v>768</v>
      </c>
      <c r="H7" s="7" t="s">
        <v>769</v>
      </c>
      <c r="I7" s="6" t="s">
        <v>844</v>
      </c>
      <c r="J7" s="57"/>
      <c r="M7" s="2"/>
      <c r="N7" s="2"/>
      <c r="O7" s="2"/>
      <c r="P7" s="2"/>
      <c r="Q7" s="2"/>
    </row>
    <row r="8" spans="1:17" ht="33.950000000000003" customHeight="1" x14ac:dyDescent="0.25">
      <c r="B8" s="9" t="e">
        <f>VLOOKUP(3*$H$3-2,urnas!$B$6:$D$114,2)</f>
        <v>#N/A</v>
      </c>
      <c r="C8" s="22" t="e">
        <f>VLOOKUP(3*$H$3-2,urnas!$B$6:$D$114,3)</f>
        <v>#N/A</v>
      </c>
      <c r="D8" s="17"/>
      <c r="E8" s="17"/>
      <c r="F8" s="17"/>
      <c r="G8" s="17"/>
      <c r="H8" s="17"/>
      <c r="I8" s="8">
        <f t="shared" ref="I8:I10" si="0">SUM(D8:H8)</f>
        <v>0</v>
      </c>
      <c r="J8" s="15" t="e">
        <f>VLOOKUP(B8,urnas!$C$6:$H$114,6)</f>
        <v>#N/A</v>
      </c>
      <c r="M8" s="2"/>
      <c r="N8" s="2"/>
      <c r="O8" s="2"/>
      <c r="P8" s="2"/>
      <c r="Q8" s="2"/>
    </row>
    <row r="9" spans="1:17" ht="33.950000000000003" customHeight="1" x14ac:dyDescent="0.25">
      <c r="B9" s="9" t="e">
        <f>VLOOKUP(3*$H$3-1,urnas!$B$6:$D$114,2)</f>
        <v>#N/A</v>
      </c>
      <c r="C9" s="22" t="e">
        <f>VLOOKUP(3*$H$3-1,urnas!$B$6:$D$114,3)</f>
        <v>#N/A</v>
      </c>
      <c r="D9" s="17"/>
      <c r="E9" s="17"/>
      <c r="F9" s="17"/>
      <c r="G9" s="17"/>
      <c r="H9" s="17"/>
      <c r="I9" s="8">
        <f t="shared" si="0"/>
        <v>0</v>
      </c>
      <c r="J9" s="15" t="e">
        <f>VLOOKUP(B9,urnas!$C$6:$H$114,6)</f>
        <v>#N/A</v>
      </c>
      <c r="M9" s="2"/>
      <c r="N9" s="2"/>
      <c r="O9" s="2"/>
      <c r="P9" s="2"/>
      <c r="Q9" s="2"/>
    </row>
    <row r="10" spans="1:17" ht="33.950000000000003" customHeight="1" thickBot="1" x14ac:dyDescent="0.3">
      <c r="B10" s="10" t="e">
        <f>VLOOKUP(3*$H$3,urnas!$B$6:$D$114,2)</f>
        <v>#N/A</v>
      </c>
      <c r="C10" s="23" t="e">
        <f>VLOOKUP(3*$H$3,urnas!$B$6:$D$114,3)</f>
        <v>#N/A</v>
      </c>
      <c r="D10" s="17"/>
      <c r="E10" s="17"/>
      <c r="F10" s="17"/>
      <c r="G10" s="17"/>
      <c r="H10" s="17"/>
      <c r="I10" s="11">
        <f t="shared" si="0"/>
        <v>0</v>
      </c>
      <c r="J10" s="16" t="e">
        <f>VLOOKUP(B10,urnas!$C$6:$H$114,6)</f>
        <v>#N/A</v>
      </c>
      <c r="M10" s="2"/>
      <c r="N10" s="2"/>
      <c r="O10" s="2"/>
      <c r="P10" s="2"/>
      <c r="Q10" s="2"/>
    </row>
    <row r="11" spans="1:17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I11" si="1">SUM(E8:E10)</f>
        <v>0</v>
      </c>
      <c r="F11" s="19">
        <f t="shared" si="1"/>
        <v>0</v>
      </c>
      <c r="G11" s="30">
        <f t="shared" si="1"/>
        <v>0</v>
      </c>
      <c r="H11" s="19">
        <f t="shared" si="1"/>
        <v>0</v>
      </c>
      <c r="I11" s="20">
        <f t="shared" si="1"/>
        <v>0</v>
      </c>
      <c r="J11" s="21"/>
    </row>
    <row r="15" spans="1:17" ht="21" x14ac:dyDescent="0.25">
      <c r="C15" s="3" t="s">
        <v>770</v>
      </c>
      <c r="I15" s="3" t="s">
        <v>856</v>
      </c>
    </row>
    <row r="16" spans="1:17" ht="15.75" thickBot="1" x14ac:dyDescent="0.3"/>
    <row r="17" spans="2:13" ht="24.95" customHeight="1" x14ac:dyDescent="0.25">
      <c r="B17" s="12"/>
      <c r="C17" s="48" t="s">
        <v>841</v>
      </c>
      <c r="D17" s="50" t="s">
        <v>840</v>
      </c>
      <c r="E17" s="51"/>
      <c r="F17" s="52"/>
      <c r="H17" s="21"/>
      <c r="I17" s="48" t="s">
        <v>840</v>
      </c>
      <c r="J17" s="53"/>
      <c r="K17" s="53"/>
      <c r="L17" s="53"/>
      <c r="M17" s="27" t="s">
        <v>848</v>
      </c>
    </row>
    <row r="18" spans="2:13" ht="51" customHeight="1" x14ac:dyDescent="0.25">
      <c r="B18" s="12"/>
      <c r="C18" s="49"/>
      <c r="D18" s="6" t="e">
        <f>VLOOKUP($H$3,campus!$A$2:$P$37,6)</f>
        <v>#N/A</v>
      </c>
      <c r="E18" s="6" t="e">
        <f>VLOOKUP($H$3,campus!$A$2:$P$37,7)</f>
        <v>#N/A</v>
      </c>
      <c r="F18" s="13" t="e">
        <f>VLOOKUP($H$3,campus!$A$2:$P$37,8)</f>
        <v>#N/A</v>
      </c>
      <c r="H18" s="31" t="s">
        <v>852</v>
      </c>
      <c r="I18" s="58"/>
      <c r="J18" s="59"/>
      <c r="K18" s="59"/>
      <c r="L18" s="59"/>
      <c r="M18" s="28" t="str">
        <f>IF(COUNTA(D8:H10)=15,M5,"")</f>
        <v/>
      </c>
    </row>
    <row r="19" spans="2:13" ht="24.95" customHeight="1" x14ac:dyDescent="0.25">
      <c r="B19" s="12"/>
      <c r="C19" s="9" t="s">
        <v>842</v>
      </c>
      <c r="D19" s="32">
        <f>IF(ISBLANK(D8),0,100*(1/3*(D8/$J8)))</f>
        <v>0</v>
      </c>
      <c r="E19" s="32">
        <f t="shared" ref="E19:F19" si="2">IF(ISBLANK(E8),0,100*(1/3*(E8/$J8)))</f>
        <v>0</v>
      </c>
      <c r="F19" s="33">
        <f t="shared" si="2"/>
        <v>0</v>
      </c>
      <c r="H19" s="62" t="s">
        <v>853</v>
      </c>
      <c r="I19" s="58"/>
      <c r="J19" s="59"/>
      <c r="K19" s="59"/>
      <c r="L19" s="59"/>
      <c r="M19" s="63" t="str">
        <f>IF(COUNTA(D8:H10)=15,N5,"")</f>
        <v/>
      </c>
    </row>
    <row r="20" spans="2:13" ht="24.95" customHeight="1" x14ac:dyDescent="0.25">
      <c r="B20" s="12"/>
      <c r="C20" s="9" t="s">
        <v>843</v>
      </c>
      <c r="D20" s="32">
        <f t="shared" ref="D20:F21" si="3">IF(ISBLANK(D9),0,100*(1/3*(D9/$J9)))</f>
        <v>0</v>
      </c>
      <c r="E20" s="32">
        <f t="shared" si="3"/>
        <v>0</v>
      </c>
      <c r="F20" s="33">
        <f t="shared" si="3"/>
        <v>0</v>
      </c>
      <c r="H20" s="62"/>
      <c r="I20" s="58"/>
      <c r="J20" s="59"/>
      <c r="K20" s="59"/>
      <c r="L20" s="59"/>
      <c r="M20" s="63"/>
    </row>
    <row r="21" spans="2:13" ht="24.95" customHeight="1" x14ac:dyDescent="0.25">
      <c r="B21" s="12"/>
      <c r="C21" s="9" t="s">
        <v>51</v>
      </c>
      <c r="D21" s="32">
        <f t="shared" si="3"/>
        <v>0</v>
      </c>
      <c r="E21" s="32">
        <f t="shared" si="3"/>
        <v>0</v>
      </c>
      <c r="F21" s="33">
        <f t="shared" si="3"/>
        <v>0</v>
      </c>
      <c r="H21" s="62" t="s">
        <v>854</v>
      </c>
      <c r="I21" s="58"/>
      <c r="J21" s="59"/>
      <c r="K21" s="59"/>
      <c r="L21" s="59"/>
      <c r="M21" s="63" t="str">
        <f>IF(COUNTA(D8:H10)=15,O5,"")</f>
        <v/>
      </c>
    </row>
    <row r="22" spans="2:13" ht="16.5" thickBot="1" x14ac:dyDescent="0.3">
      <c r="C22" s="24" t="s">
        <v>848</v>
      </c>
      <c r="D22" s="25">
        <f>SUM(D19:D21)</f>
        <v>0</v>
      </c>
      <c r="E22" s="25">
        <f>SUM(E19:E21)</f>
        <v>0</v>
      </c>
      <c r="F22" s="26">
        <f>SUM(F19:F21)</f>
        <v>0</v>
      </c>
      <c r="H22" s="62"/>
      <c r="I22" s="60"/>
      <c r="J22" s="61"/>
      <c r="K22" s="61"/>
      <c r="L22" s="61"/>
      <c r="M22" s="64"/>
    </row>
    <row r="23" spans="2:13" x14ac:dyDescent="0.25">
      <c r="D23" s="2" t="e">
        <f>D18</f>
        <v>#N/A</v>
      </c>
      <c r="E23" s="2" t="e">
        <f>E18</f>
        <v>#N/A</v>
      </c>
      <c r="F23" s="2" t="e">
        <f>F18</f>
        <v>#N/A</v>
      </c>
    </row>
    <row r="24" spans="2:13" ht="23.25" x14ac:dyDescent="0.25">
      <c r="H24" s="5" t="str">
        <f>IF(COUNTA(D8:H10)=15,IF(M18&gt;(M19+M21), "Eleição encerrada no primeiro turno.", "Haverá segundo turno entre os dois primeiro colocados"),"")</f>
        <v/>
      </c>
    </row>
    <row r="25" spans="2:13" ht="23.25" x14ac:dyDescent="0.25">
      <c r="H25" s="5" t="str">
        <f>IF(COUNTA(D9:H11)=15,"Em caso de empate utilizar os critérios elencados no código eleitoral","")</f>
        <v/>
      </c>
    </row>
    <row r="28" spans="2:13" ht="24.95" customHeight="1" x14ac:dyDescent="0.25"/>
    <row r="29" spans="2:13" ht="33.950000000000003" customHeight="1" x14ac:dyDescent="0.25"/>
    <row r="30" spans="2:13" ht="33.950000000000003" customHeight="1" x14ac:dyDescent="0.25"/>
    <row r="31" spans="2:13" ht="33.950000000000003" customHeight="1" x14ac:dyDescent="0.25"/>
  </sheetData>
  <sheetProtection algorithmName="SHA-512" hashValue="h5ZcUKBpnE8+08GgPSiU27VxmvFy/gacgDlbbxU2yYgRWuba8zlZ7PgSidQBGboMcrC9etaSE3SZ3cfBezLnTw==" saltValue="VUM0K7n+/yLQkUHUGcFYzQ==" spinCount="100000" sheet="1" objects="1" scenarios="1" selectLockedCells="1"/>
  <mergeCells count="14">
    <mergeCell ref="H19:H20"/>
    <mergeCell ref="I19:L20"/>
    <mergeCell ref="M19:M20"/>
    <mergeCell ref="H21:H22"/>
    <mergeCell ref="I21:L22"/>
    <mergeCell ref="M21:M22"/>
    <mergeCell ref="B6:B7"/>
    <mergeCell ref="C6:C7"/>
    <mergeCell ref="C17:C18"/>
    <mergeCell ref="D17:F17"/>
    <mergeCell ref="I18:L18"/>
    <mergeCell ref="D6:I6"/>
    <mergeCell ref="J6:J7"/>
    <mergeCell ref="I17:L1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4">
    <tabColor theme="0" tint="-0.499984740745262"/>
  </sheetPr>
  <dimension ref="A1:M30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4" width="25.7109375" style="1" customWidth="1"/>
    <col min="5" max="7" width="10.7109375" style="1" customWidth="1"/>
    <col min="8" max="8" width="18.5703125" style="1" bestFit="1" customWidth="1"/>
    <col min="9" max="16384" width="9.140625" style="1"/>
  </cols>
  <sheetData>
    <row r="1" spans="1:13" x14ac:dyDescent="0.25">
      <c r="A1" s="2"/>
    </row>
    <row r="2" spans="1:13" ht="28.5" x14ac:dyDescent="0.25">
      <c r="B2" s="4" t="s">
        <v>766</v>
      </c>
    </row>
    <row r="3" spans="1:13" ht="23.25" x14ac:dyDescent="0.25">
      <c r="B3" s="5" t="str">
        <f>_xlfn.CONCAT("Diretor Geral - Câmpus Avançado ",VLOOKUP($H$3,campus!$A$2:$C$38,3))</f>
        <v>Diretor Geral - Câmpus Avançado São Miguel Paulista</v>
      </c>
      <c r="H3" s="34">
        <v>35</v>
      </c>
    </row>
    <row r="5" spans="1:13" ht="15.75" thickBot="1" x14ac:dyDescent="0.3">
      <c r="K5" s="2">
        <f>LARGE(D21:D21,1)</f>
        <v>0</v>
      </c>
      <c r="L5" s="2"/>
      <c r="M5" s="2"/>
    </row>
    <row r="6" spans="1:13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5"/>
      <c r="H6" s="56" t="s">
        <v>839</v>
      </c>
      <c r="K6" s="2" t="s">
        <v>849</v>
      </c>
      <c r="L6" s="2"/>
      <c r="M6" s="2"/>
    </row>
    <row r="7" spans="1:13" ht="51" customHeight="1" x14ac:dyDescent="0.25">
      <c r="B7" s="49"/>
      <c r="C7" s="54"/>
      <c r="D7" s="6" t="str">
        <f>VLOOKUP($H$3,campus!$A$2:$P$37,6)</f>
        <v>Luís Fernando de Freitas Camargo</v>
      </c>
      <c r="E7" s="7" t="s">
        <v>768</v>
      </c>
      <c r="F7" s="7" t="s">
        <v>769</v>
      </c>
      <c r="G7" s="6" t="s">
        <v>844</v>
      </c>
      <c r="H7" s="57"/>
      <c r="K7" s="2"/>
      <c r="L7" s="2"/>
      <c r="M7" s="2"/>
    </row>
    <row r="8" spans="1:13" ht="33.950000000000003" customHeight="1" x14ac:dyDescent="0.25">
      <c r="B8" s="9" t="str">
        <f>VLOOKUP(3*$H$3-2,urnas!$B$6:$D$114,2)</f>
        <v>Urna 103</v>
      </c>
      <c r="C8" s="22" t="str">
        <f>VLOOKUP(3*$H$3-2,urnas!$B$6:$D$114,3)</f>
        <v>Docentes do Câmpus Avançado São Miguel Paulista</v>
      </c>
      <c r="D8" s="17"/>
      <c r="E8" s="17"/>
      <c r="F8" s="17"/>
      <c r="G8" s="8">
        <f>SUM(D8:F8)</f>
        <v>0</v>
      </c>
      <c r="H8" s="15">
        <f>VLOOKUP(B8,urnas!$C$6:$H$114,6)</f>
        <v>21</v>
      </c>
      <c r="K8" s="2"/>
      <c r="L8" s="2"/>
      <c r="M8" s="2"/>
    </row>
    <row r="9" spans="1:13" ht="33.950000000000003" customHeight="1" x14ac:dyDescent="0.25">
      <c r="B9" s="9" t="str">
        <f>VLOOKUP(3*$H$3-1,urnas!$B$6:$D$114,2)</f>
        <v>Urna 104</v>
      </c>
      <c r="C9" s="22" t="str">
        <f>VLOOKUP(3*$H$3-1,urnas!$B$6:$D$114,3)</f>
        <v>Discentes do Câmpus Avançado São Miguel Paulista</v>
      </c>
      <c r="D9" s="17"/>
      <c r="E9" s="17"/>
      <c r="F9" s="17"/>
      <c r="G9" s="8">
        <f>SUM(D9:F9)</f>
        <v>0</v>
      </c>
      <c r="H9" s="15">
        <f>VLOOKUP(B9,urnas!$C$6:$H$114,6)</f>
        <v>264</v>
      </c>
      <c r="K9" s="2"/>
      <c r="L9" s="2"/>
      <c r="M9" s="2"/>
    </row>
    <row r="10" spans="1:13" ht="33.950000000000003" customHeight="1" thickBot="1" x14ac:dyDescent="0.3">
      <c r="B10" s="10" t="str">
        <f>VLOOKUP(3*$H$3,urnas!$B$6:$D$114,2)</f>
        <v>Urna 105</v>
      </c>
      <c r="C10" s="23" t="str">
        <f>VLOOKUP(3*$H$3,urnas!$B$6:$D$114,3)</f>
        <v>Técnicos Administrativos do Avançado São Miguel Paulista</v>
      </c>
      <c r="D10" s="17"/>
      <c r="E10" s="17"/>
      <c r="F10" s="17"/>
      <c r="G10" s="11">
        <f>SUM(D10:F10)</f>
        <v>0</v>
      </c>
      <c r="H10" s="16">
        <f>VLOOKUP(B10,urnas!$C$6:$H$114,6)</f>
        <v>10</v>
      </c>
      <c r="K10" s="2"/>
      <c r="L10" s="2"/>
      <c r="M10" s="2"/>
    </row>
    <row r="11" spans="1:13" ht="24.95" customHeight="1" thickBot="1" x14ac:dyDescent="0.3">
      <c r="B11" s="21"/>
      <c r="C11" s="18" t="s">
        <v>855</v>
      </c>
      <c r="D11" s="19">
        <f>SUM(D8:D10)</f>
        <v>0</v>
      </c>
      <c r="E11" s="30">
        <f t="shared" ref="E11:G11" si="0">SUM(E8:E10)</f>
        <v>0</v>
      </c>
      <c r="F11" s="19">
        <f t="shared" si="0"/>
        <v>0</v>
      </c>
      <c r="G11" s="20">
        <f t="shared" si="0"/>
        <v>0</v>
      </c>
      <c r="H11" s="21"/>
    </row>
    <row r="15" spans="1:13" ht="21" x14ac:dyDescent="0.25">
      <c r="C15" s="3" t="s">
        <v>877</v>
      </c>
      <c r="G15" s="3" t="s">
        <v>856</v>
      </c>
    </row>
    <row r="16" spans="1:13" ht="15.75" thickBot="1" x14ac:dyDescent="0.3"/>
    <row r="17" spans="2:11" ht="24.95" customHeight="1" x14ac:dyDescent="0.25">
      <c r="B17" s="12"/>
      <c r="C17" s="48" t="s">
        <v>841</v>
      </c>
      <c r="D17" s="14" t="s">
        <v>840</v>
      </c>
      <c r="F17" s="21"/>
      <c r="G17" s="48" t="s">
        <v>840</v>
      </c>
      <c r="H17" s="53"/>
      <c r="I17" s="53"/>
      <c r="J17" s="53"/>
      <c r="K17" s="27" t="s">
        <v>848</v>
      </c>
    </row>
    <row r="18" spans="2:11" ht="51" customHeight="1" thickBot="1" x14ac:dyDescent="0.3">
      <c r="B18" s="12"/>
      <c r="C18" s="49"/>
      <c r="D18" s="6" t="str">
        <f>VLOOKUP($H$3,campus!$A$2:$P$37,6)</f>
        <v>Luís Fernando de Freitas Camargo</v>
      </c>
      <c r="F18" s="31" t="s">
        <v>852</v>
      </c>
      <c r="G18" s="60"/>
      <c r="H18" s="61"/>
      <c r="I18" s="61"/>
      <c r="J18" s="61"/>
      <c r="K18" s="29" t="str">
        <f>IF(COUNTA(D8:F10)=9,K5,"")</f>
        <v/>
      </c>
    </row>
    <row r="19" spans="2:11" ht="24.95" customHeight="1" x14ac:dyDescent="0.25">
      <c r="B19" s="12"/>
      <c r="C19" s="9" t="s">
        <v>888</v>
      </c>
      <c r="D19" s="32">
        <f>IF(ISBLANK(D8),0,100*((2/3)*($D8+$D10)/($G8+$G10)))</f>
        <v>0</v>
      </c>
    </row>
    <row r="20" spans="2:11" ht="24.95" customHeight="1" x14ac:dyDescent="0.25">
      <c r="B20" s="12"/>
      <c r="C20" s="9" t="s">
        <v>843</v>
      </c>
      <c r="D20" s="32">
        <f t="shared" ref="D20" si="1">IF(ISBLANK(D9),0,100*(1/3*(D9/$G9)))</f>
        <v>0</v>
      </c>
      <c r="F20" s="5" t="str">
        <f>IF(COUNTA(D8:F10)=9,"Eleição encerrada no primeiro turno.","")</f>
        <v/>
      </c>
    </row>
    <row r="21" spans="2:11" ht="16.5" thickBot="1" x14ac:dyDescent="0.3">
      <c r="C21" s="24" t="s">
        <v>848</v>
      </c>
      <c r="D21" s="25">
        <f>SUM(D19:D20)</f>
        <v>0</v>
      </c>
    </row>
    <row r="22" spans="2:11" x14ac:dyDescent="0.25">
      <c r="D22" s="2" t="str">
        <f>D18</f>
        <v>Luís Fernando de Freitas Camargo</v>
      </c>
    </row>
    <row r="27" spans="2:11" ht="24.95" customHeight="1" x14ac:dyDescent="0.25"/>
    <row r="28" spans="2:11" ht="33.950000000000003" customHeight="1" x14ac:dyDescent="0.25"/>
    <row r="29" spans="2:11" ht="33.950000000000003" customHeight="1" x14ac:dyDescent="0.25"/>
    <row r="30" spans="2:11" ht="33.950000000000003" customHeight="1" x14ac:dyDescent="0.25"/>
  </sheetData>
  <sheetProtection sheet="1" objects="1" scenarios="1" selectLockedCells="1"/>
  <mergeCells count="7">
    <mergeCell ref="B6:B7"/>
    <mergeCell ref="C6:C7"/>
    <mergeCell ref="D6:G6"/>
    <mergeCell ref="H6:H7"/>
    <mergeCell ref="C17:C18"/>
    <mergeCell ref="G17:J17"/>
    <mergeCell ref="G18:J18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3">
    <tabColor theme="0" tint="-0.499984740745262"/>
  </sheetPr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Avançado ",VLOOKUP($H$3,campus!$A$2:$C$38,3))</f>
        <v>Diretor Geral - Câmpus Avançado Jundiaí</v>
      </c>
      <c r="H3" s="34">
        <v>34</v>
      </c>
    </row>
    <row r="5" spans="1:15" ht="15.75" thickBot="1" x14ac:dyDescent="0.3">
      <c r="L5" s="2">
        <f>LARGE(D21:E21,1)</f>
        <v>0</v>
      </c>
      <c r="M5" s="2">
        <f>LARGE(D21:E21,2)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Daniel Saverio Spozito</v>
      </c>
      <c r="E7" s="6" t="str">
        <f>VLOOKUP($H$3,campus!$A$2:$P$37,7)</f>
        <v>Karina Maretti Strangueto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100</v>
      </c>
      <c r="C8" s="22" t="str">
        <f>VLOOKUP(3*$H$3-2,urnas!$B$6:$D$114,3)</f>
        <v>Docentes do Câmpus Avançado Jundiaí</v>
      </c>
      <c r="D8" s="17"/>
      <c r="E8" s="17"/>
      <c r="F8" s="17"/>
      <c r="G8" s="17"/>
      <c r="H8" s="8">
        <f>SUM(D8:G8)</f>
        <v>0</v>
      </c>
      <c r="I8" s="15">
        <f>VLOOKUP(B8,urnas!$C$6:$H$114,6)</f>
        <v>24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101</v>
      </c>
      <c r="C9" s="22" t="str">
        <f>VLOOKUP(3*$H$3-1,urnas!$B$6:$D$114,3)</f>
        <v>Discentes do Câmpus Avançado Jundiaí</v>
      </c>
      <c r="D9" s="17"/>
      <c r="E9" s="17"/>
      <c r="F9" s="17"/>
      <c r="G9" s="17"/>
      <c r="H9" s="8">
        <f>SUM(D9:G9)</f>
        <v>0</v>
      </c>
      <c r="I9" s="15">
        <f>VLOOKUP(B9,urnas!$C$6:$H$114,6)</f>
        <v>289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102</v>
      </c>
      <c r="C10" s="23" t="str">
        <f>VLOOKUP(3*$H$3,urnas!$B$6:$D$114,3)</f>
        <v>Técnicos Administrativos do Campus Avançado Jundiaí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17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Daniel Saverio Spozito</v>
      </c>
      <c r="E18" s="6" t="str">
        <f>VLOOKUP($H$3,campus!$A$2:$P$37,7)</f>
        <v>Karina Maretti Strangueto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888</v>
      </c>
      <c r="D19" s="32">
        <f>IF(ISBLANK(D8),0,100*((2/3)*($D8+$D10)/($H8+$H10)))</f>
        <v>0</v>
      </c>
      <c r="E19" s="32">
        <f>IF(ISBLANK(E8),0,100*((2/3)*($E8+$E10)/($H8+$H10)))</f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ref="D20:E20" si="1">IF(ISBLANK(D9),0,100*(1/3*(D9/$H9)))</f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thickBot="1" x14ac:dyDescent="0.3">
      <c r="B21" s="12"/>
      <c r="C21" s="24" t="s">
        <v>848</v>
      </c>
      <c r="D21" s="25">
        <f>SUM(D19:D20)</f>
        <v>0</v>
      </c>
      <c r="E21" s="25">
        <f>SUM(E19:E20)</f>
        <v>0</v>
      </c>
    </row>
    <row r="22" spans="2:12" ht="23.25" x14ac:dyDescent="0.25">
      <c r="D22" s="2" t="str">
        <f>D18</f>
        <v>Daniel Saverio Spozito</v>
      </c>
      <c r="E22" s="2" t="str">
        <f>E18</f>
        <v>Karina Maretti Strangueto</v>
      </c>
      <c r="G22" s="5" t="str">
        <f>IF(COUNTA(D8:G10)=12,"Eleição encerrada no primeiro turno.","")</f>
        <v/>
      </c>
    </row>
    <row r="23" spans="2:12" ht="23.25" x14ac:dyDescent="0.25"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2">
    <tabColor theme="0" tint="-0.499984740745262"/>
  </sheetPr>
  <dimension ref="A1:O31"/>
  <sheetViews>
    <sheetView tabSelected="1"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Avançado ",VLOOKUP($H$3,campus!$A$2:$C$38,3))</f>
        <v>Diretor Geral - Câmpus Avançado Ilha Solteira</v>
      </c>
      <c r="H3" s="34">
        <v>33</v>
      </c>
    </row>
    <row r="5" spans="1:15" ht="15.75" thickBot="1" x14ac:dyDescent="0.3">
      <c r="L5" s="2">
        <f>LARGE(D21:E21,1)</f>
        <v>0</v>
      </c>
      <c r="M5" s="2">
        <f>LARGE(D21:E21,2)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Carla Rubia Marques</v>
      </c>
      <c r="E7" s="6" t="str">
        <f>VLOOKUP($H$3,campus!$A$2:$P$37,7)</f>
        <v>Wilson José da Silva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097</v>
      </c>
      <c r="C8" s="22" t="str">
        <f>VLOOKUP(3*$H$3-2,urnas!$B$6:$D$114,3)</f>
        <v>Docentes do Câmpus Avançado Ilha Solteira</v>
      </c>
      <c r="D8" s="17"/>
      <c r="E8" s="17"/>
      <c r="F8" s="17"/>
      <c r="G8" s="17"/>
      <c r="H8" s="8">
        <f>SUM(D8:G8)</f>
        <v>0</v>
      </c>
      <c r="I8" s="15">
        <f>VLOOKUP(B8,urnas!$C$6:$H$114,6)</f>
        <v>21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098</v>
      </c>
      <c r="C9" s="22" t="str">
        <f>VLOOKUP(3*$H$3-1,urnas!$B$6:$D$114,3)</f>
        <v>Discentes do Câmpus Avançado Ilha Solteira</v>
      </c>
      <c r="D9" s="17"/>
      <c r="E9" s="17"/>
      <c r="F9" s="17"/>
      <c r="G9" s="17"/>
      <c r="H9" s="8">
        <f>SUM(D9:G9)</f>
        <v>0</v>
      </c>
      <c r="I9" s="15">
        <f>VLOOKUP(B9,urnas!$C$6:$H$114,6)</f>
        <v>210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099</v>
      </c>
      <c r="C10" s="23" t="str">
        <f>VLOOKUP(3*$H$3,urnas!$B$6:$D$114,3)</f>
        <v>Técnicos Administrativos do Câmpus Avançado Ilha Solteira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13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Carla Rubia Marques</v>
      </c>
      <c r="E18" s="6" t="str">
        <f>VLOOKUP($H$3,campus!$A$2:$P$37,7)</f>
        <v>Wilson José da Silva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888</v>
      </c>
      <c r="D19" s="32">
        <f>IF(ISBLANK(D8),0,100*((2/3)*($D8+$D10)/($H8+$H10)))</f>
        <v>0</v>
      </c>
      <c r="E19" s="32">
        <f>IF(ISBLANK(E8),0,100*((2/3)*($E8+$E10)/($H8+$H10)))</f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ref="D20:E20" si="1">IF(ISBLANK(D9),0,100*(1/3*(D9/$H9)))</f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thickBot="1" x14ac:dyDescent="0.3">
      <c r="B21" s="12"/>
      <c r="C21" s="24" t="s">
        <v>848</v>
      </c>
      <c r="D21" s="25">
        <f>SUM(D19:D20)</f>
        <v>0</v>
      </c>
      <c r="E21" s="25">
        <f>SUM(E19:E20)</f>
        <v>0</v>
      </c>
    </row>
    <row r="22" spans="2:12" ht="23.25" x14ac:dyDescent="0.25">
      <c r="D22" s="2" t="str">
        <f>D18</f>
        <v>Carla Rubia Marques</v>
      </c>
      <c r="E22" s="2" t="str">
        <f>E18</f>
        <v>Wilson José da Silva</v>
      </c>
      <c r="G22" s="5" t="str">
        <f>IF(COUNTA(D8:G10)=12,"Eleição encerrada no primeiro turno.","")</f>
        <v/>
      </c>
    </row>
    <row r="23" spans="2:12" ht="23.25" x14ac:dyDescent="0.25"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1"/>
  <dimension ref="A1:O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5" width="25.7109375" style="1" customWidth="1"/>
    <col min="6" max="8" width="10.7109375" style="1" customWidth="1"/>
    <col min="9" max="9" width="18.5703125" style="1" bestFit="1" customWidth="1"/>
    <col min="10" max="16384" width="9.140625" style="1"/>
  </cols>
  <sheetData>
    <row r="1" spans="1:15" x14ac:dyDescent="0.25">
      <c r="A1" s="2"/>
    </row>
    <row r="2" spans="1:15" ht="28.5" x14ac:dyDescent="0.25">
      <c r="B2" s="4" t="s">
        <v>766</v>
      </c>
    </row>
    <row r="3" spans="1:15" ht="23.25" x14ac:dyDescent="0.25">
      <c r="B3" s="5" t="str">
        <f>_xlfn.CONCAT("Diretor Geral - Câmpus ",VLOOKUP($H$3,campus!$A$2:$C$38,3))</f>
        <v>Diretor Geral - Câmpus Votuporanga</v>
      </c>
      <c r="H3" s="34">
        <v>32</v>
      </c>
    </row>
    <row r="5" spans="1:15" ht="15.75" thickBot="1" x14ac:dyDescent="0.3">
      <c r="L5" s="2">
        <f>LARGE(D22:E22,1)</f>
        <v>0</v>
      </c>
      <c r="M5" s="2">
        <f>LARGE(D22:E22,2)</f>
        <v>0</v>
      </c>
      <c r="N5" s="2"/>
      <c r="O5" s="2"/>
    </row>
    <row r="6" spans="1:15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5"/>
      <c r="I6" s="56" t="s">
        <v>839</v>
      </c>
      <c r="L6" s="2" t="s">
        <v>849</v>
      </c>
      <c r="M6" s="2" t="s">
        <v>850</v>
      </c>
      <c r="N6" s="2"/>
      <c r="O6" s="2"/>
    </row>
    <row r="7" spans="1:15" ht="51" customHeight="1" x14ac:dyDescent="0.25">
      <c r="B7" s="49"/>
      <c r="C7" s="54"/>
      <c r="D7" s="6" t="str">
        <f>VLOOKUP($H$3,campus!$A$2:$P$37,6)</f>
        <v>Eduardo Rogério Gonçalves</v>
      </c>
      <c r="E7" s="6" t="str">
        <f>VLOOKUP($H$3,campus!$A$2:$P$37,7)</f>
        <v>Ricardo Teixeira Domingues</v>
      </c>
      <c r="F7" s="7" t="s">
        <v>768</v>
      </c>
      <c r="G7" s="7" t="s">
        <v>769</v>
      </c>
      <c r="H7" s="6" t="s">
        <v>844</v>
      </c>
      <c r="I7" s="57"/>
      <c r="L7" s="2"/>
      <c r="M7" s="2"/>
      <c r="N7" s="2"/>
      <c r="O7" s="2"/>
    </row>
    <row r="8" spans="1:15" ht="33.950000000000003" customHeight="1" x14ac:dyDescent="0.25">
      <c r="B8" s="9" t="str">
        <f>VLOOKUP(3*$H$3-2,urnas!$B$6:$D$114,2)</f>
        <v>Urna 094</v>
      </c>
      <c r="C8" s="22" t="str">
        <f>VLOOKUP(3*$H$3-2,urnas!$B$6:$D$114,3)</f>
        <v>Docentes do Câmpus Votuporanga</v>
      </c>
      <c r="D8" s="17"/>
      <c r="E8" s="17"/>
      <c r="F8" s="17"/>
      <c r="G8" s="17"/>
      <c r="H8" s="8">
        <f>SUM(D8:G8)</f>
        <v>0</v>
      </c>
      <c r="I8" s="15">
        <f>VLOOKUP(B8,urnas!$C$6:$H$114,6)</f>
        <v>74</v>
      </c>
      <c r="L8" s="2"/>
      <c r="M8" s="2"/>
      <c r="N8" s="2"/>
      <c r="O8" s="2"/>
    </row>
    <row r="9" spans="1:15" ht="33.950000000000003" customHeight="1" x14ac:dyDescent="0.25">
      <c r="B9" s="9" t="str">
        <f>VLOOKUP(3*$H$3-1,urnas!$B$6:$D$114,2)</f>
        <v>Urna 095</v>
      </c>
      <c r="C9" s="22" t="str">
        <f>VLOOKUP(3*$H$3-1,urnas!$B$6:$D$114,3)</f>
        <v>Discentes do Câmpus Votuporanga</v>
      </c>
      <c r="D9" s="17"/>
      <c r="E9" s="17"/>
      <c r="F9" s="17"/>
      <c r="G9" s="17"/>
      <c r="H9" s="8">
        <f>SUM(D9:G9)</f>
        <v>0</v>
      </c>
      <c r="I9" s="15">
        <f>VLOOKUP(B9,urnas!$C$6:$H$114,6)</f>
        <v>950</v>
      </c>
      <c r="L9" s="2"/>
      <c r="M9" s="2"/>
      <c r="N9" s="2"/>
      <c r="O9" s="2"/>
    </row>
    <row r="10" spans="1:15" ht="33.950000000000003" customHeight="1" thickBot="1" x14ac:dyDescent="0.3">
      <c r="B10" s="10" t="str">
        <f>VLOOKUP(3*$H$3,urnas!$B$6:$D$114,2)</f>
        <v>Urna 096</v>
      </c>
      <c r="C10" s="23" t="str">
        <f>VLOOKUP(3*$H$3,urnas!$B$6:$D$114,3)</f>
        <v>Técnicos Administrativos do Câmpus Votuporanga</v>
      </c>
      <c r="D10" s="17"/>
      <c r="E10" s="17"/>
      <c r="F10" s="17"/>
      <c r="G10" s="17"/>
      <c r="H10" s="11">
        <f>SUM(D10:G10)</f>
        <v>0</v>
      </c>
      <c r="I10" s="16">
        <f>VLOOKUP(B10,urnas!$C$6:$H$114,6)</f>
        <v>43</v>
      </c>
      <c r="L10" s="2"/>
      <c r="M10" s="2"/>
      <c r="N10" s="2"/>
      <c r="O10" s="2"/>
    </row>
    <row r="11" spans="1:15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H11" si="0">SUM(E8:E10)</f>
        <v>0</v>
      </c>
      <c r="F11" s="30">
        <f t="shared" si="0"/>
        <v>0</v>
      </c>
      <c r="G11" s="19">
        <f t="shared" si="0"/>
        <v>0</v>
      </c>
      <c r="H11" s="20">
        <f t="shared" si="0"/>
        <v>0</v>
      </c>
      <c r="I11" s="21"/>
    </row>
    <row r="15" spans="1:15" ht="21" x14ac:dyDescent="0.25">
      <c r="C15" s="3" t="s">
        <v>770</v>
      </c>
      <c r="H15" s="3" t="s">
        <v>856</v>
      </c>
    </row>
    <row r="16" spans="1:15" ht="15.75" thickBot="1" x14ac:dyDescent="0.3"/>
    <row r="17" spans="2:12" ht="24.95" customHeight="1" x14ac:dyDescent="0.25">
      <c r="B17" s="12"/>
      <c r="C17" s="48" t="s">
        <v>841</v>
      </c>
      <c r="D17" s="50" t="s">
        <v>840</v>
      </c>
      <c r="E17" s="51"/>
      <c r="G17" s="21"/>
      <c r="H17" s="48" t="s">
        <v>840</v>
      </c>
      <c r="I17" s="53"/>
      <c r="J17" s="53"/>
      <c r="K17" s="53"/>
      <c r="L17" s="27" t="s">
        <v>848</v>
      </c>
    </row>
    <row r="18" spans="2:12" ht="51" customHeight="1" x14ac:dyDescent="0.25">
      <c r="B18" s="12"/>
      <c r="C18" s="49"/>
      <c r="D18" s="6" t="str">
        <f>VLOOKUP($H$3,campus!$A$2:$P$37,6)</f>
        <v>Eduardo Rogério Gonçalves</v>
      </c>
      <c r="E18" s="6" t="str">
        <f>VLOOKUP($H$3,campus!$A$2:$P$37,7)</f>
        <v>Ricardo Teixeira Domingues</v>
      </c>
      <c r="G18" s="31" t="s">
        <v>852</v>
      </c>
      <c r="H18" s="58"/>
      <c r="I18" s="59"/>
      <c r="J18" s="59"/>
      <c r="K18" s="59"/>
      <c r="L18" s="28" t="str">
        <f>IF(COUNTA(D8:G10)=12,L5,"")</f>
        <v/>
      </c>
    </row>
    <row r="19" spans="2:12" ht="24.95" customHeight="1" x14ac:dyDescent="0.25">
      <c r="B19" s="12"/>
      <c r="C19" s="9" t="s">
        <v>842</v>
      </c>
      <c r="D19" s="32">
        <f t="shared" ref="D19:E21" si="1">IF(ISBLANK(D8),0,100*(1/3*(D8/$I8)))</f>
        <v>0</v>
      </c>
      <c r="E19" s="32">
        <f t="shared" si="1"/>
        <v>0</v>
      </c>
      <c r="G19" s="62" t="s">
        <v>853</v>
      </c>
      <c r="H19" s="58"/>
      <c r="I19" s="59"/>
      <c r="J19" s="59"/>
      <c r="K19" s="59"/>
      <c r="L19" s="63" t="str">
        <f>IF(COUNTA(D8:G10)=12,M5,"")</f>
        <v/>
      </c>
    </row>
    <row r="20" spans="2:12" ht="24.95" customHeight="1" thickBot="1" x14ac:dyDescent="0.3">
      <c r="B20" s="12"/>
      <c r="C20" s="9" t="s">
        <v>843</v>
      </c>
      <c r="D20" s="32">
        <f t="shared" si="1"/>
        <v>0</v>
      </c>
      <c r="E20" s="32">
        <f t="shared" si="1"/>
        <v>0</v>
      </c>
      <c r="G20" s="62"/>
      <c r="H20" s="60"/>
      <c r="I20" s="61"/>
      <c r="J20" s="61"/>
      <c r="K20" s="61"/>
      <c r="L20" s="64"/>
    </row>
    <row r="21" spans="2:12" ht="24.95" customHeight="1" x14ac:dyDescent="0.25">
      <c r="B21" s="12"/>
      <c r="C21" s="9" t="s">
        <v>51</v>
      </c>
      <c r="D21" s="32">
        <f t="shared" si="1"/>
        <v>0</v>
      </c>
      <c r="E21" s="32">
        <f t="shared" si="1"/>
        <v>0</v>
      </c>
    </row>
    <row r="22" spans="2:12" ht="24" thickBot="1" x14ac:dyDescent="0.3">
      <c r="C22" s="24" t="s">
        <v>848</v>
      </c>
      <c r="D22" s="25">
        <f>SUM(D19:D21)</f>
        <v>0</v>
      </c>
      <c r="E22" s="25">
        <f>SUM(E19:E21)</f>
        <v>0</v>
      </c>
      <c r="G22" s="5" t="str">
        <f>IF(COUNTA(D8:G10)=12,"Eleição encerrada no primeiro turno.","")</f>
        <v/>
      </c>
    </row>
    <row r="23" spans="2:12" ht="23.25" x14ac:dyDescent="0.25">
      <c r="D23" s="2" t="str">
        <f>D18</f>
        <v>Eduardo Rogério Gonçalves</v>
      </c>
      <c r="E23" s="2" t="str">
        <f>E18</f>
        <v>Ricardo Teixeira Domingues</v>
      </c>
      <c r="G23" s="5" t="str">
        <f>IF(COUNTA(D9:G11)=12,"Em caso de empate utilizar os critérios elencados no código eleitoral","")</f>
        <v/>
      </c>
    </row>
    <row r="28" spans="2:12" ht="24.95" customHeight="1" x14ac:dyDescent="0.25"/>
    <row r="29" spans="2:12" ht="33.950000000000003" customHeight="1" x14ac:dyDescent="0.25"/>
    <row r="30" spans="2:12" ht="33.950000000000003" customHeight="1" x14ac:dyDescent="0.25"/>
    <row r="31" spans="2:12" ht="33.950000000000003" customHeight="1" x14ac:dyDescent="0.25"/>
  </sheetData>
  <sheetProtection sheet="1" objects="1" scenarios="1" selectLockedCells="1"/>
  <mergeCells count="11">
    <mergeCell ref="G19:G20"/>
    <mergeCell ref="H19:K20"/>
    <mergeCell ref="L19:L20"/>
    <mergeCell ref="B6:B7"/>
    <mergeCell ref="C6:C7"/>
    <mergeCell ref="D6:H6"/>
    <mergeCell ref="I6:I7"/>
    <mergeCell ref="C17:C18"/>
    <mergeCell ref="D17:E17"/>
    <mergeCell ref="H17:K17"/>
    <mergeCell ref="H18:K18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0"/>
  <dimension ref="A1:Q31"/>
  <sheetViews>
    <sheetView workbookViewId="0">
      <selection activeCell="F20" sqref="F20"/>
    </sheetView>
  </sheetViews>
  <sheetFormatPr defaultRowHeight="15" x14ac:dyDescent="0.25"/>
  <cols>
    <col min="1" max="2" width="9.140625" style="1"/>
    <col min="3" max="3" width="40.28515625" style="1" customWidth="1"/>
    <col min="4" max="6" width="25.7109375" style="1" customWidth="1"/>
    <col min="7" max="9" width="10.7109375" style="1" customWidth="1"/>
    <col min="10" max="10" width="18.5703125" style="1" bestFit="1" customWidth="1"/>
    <col min="11" max="16384" width="9.140625" style="1"/>
  </cols>
  <sheetData>
    <row r="1" spans="1:17" x14ac:dyDescent="0.25">
      <c r="A1" s="2">
        <v>1</v>
      </c>
    </row>
    <row r="2" spans="1:17" ht="28.5" x14ac:dyDescent="0.25">
      <c r="B2" s="4" t="s">
        <v>766</v>
      </c>
    </row>
    <row r="3" spans="1:17" ht="23.25" x14ac:dyDescent="0.25">
      <c r="B3" s="5" t="str">
        <f>_xlfn.CONCAT("Diretor Geral - Câmpus ",VLOOKUP($H$3,campus!$A$2:$C$38,3))</f>
        <v>Diretor Geral - Câmpus Suzano</v>
      </c>
      <c r="H3" s="34">
        <v>31</v>
      </c>
    </row>
    <row r="5" spans="1:17" ht="15.75" thickBot="1" x14ac:dyDescent="0.3">
      <c r="M5" s="2">
        <f>LARGE(D22:F22,1)</f>
        <v>0</v>
      </c>
      <c r="N5" s="2">
        <f>LARGE(D22:F22,2)</f>
        <v>0</v>
      </c>
      <c r="O5" s="2">
        <f>LARGE(D22:F22,3)</f>
        <v>0</v>
      </c>
      <c r="P5" s="2"/>
      <c r="Q5" s="2"/>
    </row>
    <row r="6" spans="1:17" ht="24.95" customHeight="1" x14ac:dyDescent="0.25">
      <c r="B6" s="48" t="s">
        <v>14</v>
      </c>
      <c r="C6" s="53" t="s">
        <v>838</v>
      </c>
      <c r="D6" s="50" t="s">
        <v>767</v>
      </c>
      <c r="E6" s="51"/>
      <c r="F6" s="51"/>
      <c r="G6" s="51"/>
      <c r="H6" s="51"/>
      <c r="I6" s="55"/>
      <c r="J6" s="56" t="s">
        <v>839</v>
      </c>
      <c r="M6" s="2" t="s">
        <v>849</v>
      </c>
      <c r="N6" s="2" t="s">
        <v>850</v>
      </c>
      <c r="O6" s="2" t="s">
        <v>851</v>
      </c>
      <c r="P6" s="2"/>
      <c r="Q6" s="2"/>
    </row>
    <row r="7" spans="1:17" ht="51" customHeight="1" x14ac:dyDescent="0.25">
      <c r="B7" s="49"/>
      <c r="C7" s="54"/>
      <c r="D7" s="6" t="str">
        <f>VLOOKUP($H$3,campus!$A$2:$P$37,6)</f>
        <v>Fábio Nazareno Machado da Silva</v>
      </c>
      <c r="E7" s="6" t="str">
        <f>VLOOKUP($H$3,campus!$A$2:$P$37,7)</f>
        <v>Eugenio de Felice Zampini</v>
      </c>
      <c r="F7" s="6" t="str">
        <f>VLOOKUP($H$3,campus!$A$2:$P$37,8)</f>
        <v>Luiz Carlos Rodrigues Montes</v>
      </c>
      <c r="G7" s="7" t="s">
        <v>768</v>
      </c>
      <c r="H7" s="7" t="s">
        <v>769</v>
      </c>
      <c r="I7" s="6" t="s">
        <v>844</v>
      </c>
      <c r="J7" s="57"/>
      <c r="M7" s="2"/>
      <c r="N7" s="2"/>
      <c r="O7" s="2"/>
      <c r="P7" s="2"/>
      <c r="Q7" s="2"/>
    </row>
    <row r="8" spans="1:17" ht="33.950000000000003" customHeight="1" x14ac:dyDescent="0.25">
      <c r="B8" s="9" t="str">
        <f>VLOOKUP(3*$H$3-2,urnas!$B$6:$D$114,2)</f>
        <v>Urna 091</v>
      </c>
      <c r="C8" s="22" t="str">
        <f>VLOOKUP(3*$H$3-2,urnas!$B$6:$D$114,3)</f>
        <v>Docentes do Câmpus Suzano</v>
      </c>
      <c r="D8" s="17"/>
      <c r="E8" s="17"/>
      <c r="F8" s="17"/>
      <c r="G8" s="17"/>
      <c r="H8" s="17"/>
      <c r="I8" s="8">
        <f t="shared" ref="I8:I10" si="0">SUM(D8:H8)</f>
        <v>0</v>
      </c>
      <c r="J8" s="15">
        <f>VLOOKUP(B8,urnas!$C$6:$H$114,6)</f>
        <v>70</v>
      </c>
      <c r="M8" s="2"/>
      <c r="N8" s="2"/>
      <c r="O8" s="2"/>
      <c r="P8" s="2"/>
      <c r="Q8" s="2"/>
    </row>
    <row r="9" spans="1:17" ht="33.950000000000003" customHeight="1" x14ac:dyDescent="0.25">
      <c r="B9" s="9" t="str">
        <f>VLOOKUP(3*$H$3-1,urnas!$B$6:$D$114,2)</f>
        <v>Urna 092</v>
      </c>
      <c r="C9" s="22" t="str">
        <f>VLOOKUP(3*$H$3-1,urnas!$B$6:$D$114,3)</f>
        <v>Discentes do Câmpus Suzano</v>
      </c>
      <c r="D9" s="17"/>
      <c r="E9" s="17"/>
      <c r="F9" s="17"/>
      <c r="G9" s="17"/>
      <c r="H9" s="17"/>
      <c r="I9" s="8">
        <f t="shared" si="0"/>
        <v>0</v>
      </c>
      <c r="J9" s="15">
        <f>VLOOKUP(B9,urnas!$C$6:$H$114,6)</f>
        <v>1265</v>
      </c>
      <c r="M9" s="2"/>
      <c r="N9" s="2"/>
      <c r="O9" s="2"/>
      <c r="P9" s="2"/>
      <c r="Q9" s="2"/>
    </row>
    <row r="10" spans="1:17" ht="33.950000000000003" customHeight="1" thickBot="1" x14ac:dyDescent="0.3">
      <c r="B10" s="10" t="str">
        <f>VLOOKUP(3*$H$3,urnas!$B$6:$D$114,2)</f>
        <v>Urna 093</v>
      </c>
      <c r="C10" s="23" t="str">
        <f>VLOOKUP(3*$H$3,urnas!$B$6:$D$114,3)</f>
        <v>Técnicos Administrativos do Câmpus Suzano</v>
      </c>
      <c r="D10" s="17"/>
      <c r="E10" s="17"/>
      <c r="F10" s="17"/>
      <c r="G10" s="17"/>
      <c r="H10" s="17"/>
      <c r="I10" s="11">
        <f t="shared" si="0"/>
        <v>0</v>
      </c>
      <c r="J10" s="16">
        <f>VLOOKUP(B10,urnas!$C$6:$H$114,6)</f>
        <v>41</v>
      </c>
      <c r="M10" s="2"/>
      <c r="N10" s="2"/>
      <c r="O10" s="2"/>
      <c r="P10" s="2"/>
      <c r="Q10" s="2"/>
    </row>
    <row r="11" spans="1:17" ht="24.95" customHeight="1" thickBot="1" x14ac:dyDescent="0.3">
      <c r="B11" s="21"/>
      <c r="C11" s="18" t="s">
        <v>855</v>
      </c>
      <c r="D11" s="19">
        <f>SUM(D8:D10)</f>
        <v>0</v>
      </c>
      <c r="E11" s="19">
        <f t="shared" ref="E11:I11" si="1">SUM(E8:E10)</f>
        <v>0</v>
      </c>
      <c r="F11" s="19">
        <f t="shared" si="1"/>
        <v>0</v>
      </c>
      <c r="G11" s="30">
        <f t="shared" si="1"/>
        <v>0</v>
      </c>
      <c r="H11" s="19">
        <f t="shared" si="1"/>
        <v>0</v>
      </c>
      <c r="I11" s="20">
        <f t="shared" si="1"/>
        <v>0</v>
      </c>
      <c r="J11" s="21"/>
    </row>
    <row r="15" spans="1:17" ht="21" x14ac:dyDescent="0.25">
      <c r="C15" s="3" t="s">
        <v>770</v>
      </c>
      <c r="I15" s="3" t="s">
        <v>856</v>
      </c>
    </row>
    <row r="16" spans="1:17" ht="15.75" thickBot="1" x14ac:dyDescent="0.3"/>
    <row r="17" spans="2:13" ht="24.95" customHeight="1" x14ac:dyDescent="0.25">
      <c r="B17" s="12"/>
      <c r="C17" s="48" t="s">
        <v>841</v>
      </c>
      <c r="D17" s="50" t="s">
        <v>840</v>
      </c>
      <c r="E17" s="51"/>
      <c r="F17" s="52"/>
      <c r="H17" s="21"/>
      <c r="I17" s="48" t="s">
        <v>840</v>
      </c>
      <c r="J17" s="53"/>
      <c r="K17" s="53"/>
      <c r="L17" s="53"/>
      <c r="M17" s="27" t="s">
        <v>848</v>
      </c>
    </row>
    <row r="18" spans="2:13" ht="51" customHeight="1" x14ac:dyDescent="0.25">
      <c r="B18" s="12"/>
      <c r="C18" s="49"/>
      <c r="D18" s="6" t="str">
        <f>VLOOKUP($H$3,campus!$A$2:$P$37,6)</f>
        <v>Fábio Nazareno Machado da Silva</v>
      </c>
      <c r="E18" s="6" t="str">
        <f>VLOOKUP($H$3,campus!$A$2:$P$37,7)</f>
        <v>Eugenio de Felice Zampini</v>
      </c>
      <c r="F18" s="13" t="str">
        <f>VLOOKUP($H$3,campus!$A$2:$P$37,8)</f>
        <v>Luiz Carlos Rodrigues Montes</v>
      </c>
      <c r="H18" s="31" t="s">
        <v>852</v>
      </c>
      <c r="I18" s="58"/>
      <c r="J18" s="59"/>
      <c r="K18" s="59"/>
      <c r="L18" s="59"/>
      <c r="M18" s="28" t="str">
        <f>IF(COUNTA(D8:H10)=15,M5,"")</f>
        <v/>
      </c>
    </row>
    <row r="19" spans="2:13" ht="24.95" customHeight="1" x14ac:dyDescent="0.25">
      <c r="B19" s="12"/>
      <c r="C19" s="9" t="s">
        <v>842</v>
      </c>
      <c r="D19" s="32">
        <f>IF(ISBLANK(D8),0,100*(1/3*(D8/$J8)))</f>
        <v>0</v>
      </c>
      <c r="E19" s="32">
        <f t="shared" ref="E19:F19" si="2">IF(ISBLANK(E8),0,100*(1/3*(E8/$J8)))</f>
        <v>0</v>
      </c>
      <c r="F19" s="33">
        <f t="shared" si="2"/>
        <v>0</v>
      </c>
      <c r="H19" s="62" t="s">
        <v>853</v>
      </c>
      <c r="I19" s="58"/>
      <c r="J19" s="59"/>
      <c r="K19" s="59"/>
      <c r="L19" s="59"/>
      <c r="M19" s="63" t="str">
        <f>IF(COUNTA(D8:H10)=15,N5,"")</f>
        <v/>
      </c>
    </row>
    <row r="20" spans="2:13" ht="24.95" customHeight="1" x14ac:dyDescent="0.25">
      <c r="B20" s="12"/>
      <c r="C20" s="9" t="s">
        <v>843</v>
      </c>
      <c r="D20" s="32">
        <f t="shared" ref="D20:F21" si="3">IF(ISBLANK(D9),0,100*(1/3*(D9/$J9)))</f>
        <v>0</v>
      </c>
      <c r="E20" s="32">
        <f t="shared" si="3"/>
        <v>0</v>
      </c>
      <c r="F20" s="33">
        <f t="shared" si="3"/>
        <v>0</v>
      </c>
      <c r="H20" s="62"/>
      <c r="I20" s="58"/>
      <c r="J20" s="59"/>
      <c r="K20" s="59"/>
      <c r="L20" s="59"/>
      <c r="M20" s="63"/>
    </row>
    <row r="21" spans="2:13" ht="24.95" customHeight="1" x14ac:dyDescent="0.25">
      <c r="B21" s="12"/>
      <c r="C21" s="9" t="s">
        <v>51</v>
      </c>
      <c r="D21" s="32">
        <f t="shared" si="3"/>
        <v>0</v>
      </c>
      <c r="E21" s="32">
        <f t="shared" si="3"/>
        <v>0</v>
      </c>
      <c r="F21" s="33">
        <f t="shared" si="3"/>
        <v>0</v>
      </c>
      <c r="H21" s="62" t="s">
        <v>854</v>
      </c>
      <c r="I21" s="58"/>
      <c r="J21" s="59"/>
      <c r="K21" s="59"/>
      <c r="L21" s="59"/>
      <c r="M21" s="63" t="str">
        <f>IF(COUNTA(D8:H10)=15,O5,"")</f>
        <v/>
      </c>
    </row>
    <row r="22" spans="2:13" ht="16.5" thickBot="1" x14ac:dyDescent="0.3">
      <c r="C22" s="24" t="s">
        <v>848</v>
      </c>
      <c r="D22" s="25">
        <f>SUM(D19:D21)</f>
        <v>0</v>
      </c>
      <c r="E22" s="25">
        <f>SUM(E19:E21)</f>
        <v>0</v>
      </c>
      <c r="F22" s="26">
        <f>SUM(F19:F21)</f>
        <v>0</v>
      </c>
      <c r="H22" s="62"/>
      <c r="I22" s="60"/>
      <c r="J22" s="61"/>
      <c r="K22" s="61"/>
      <c r="L22" s="61"/>
      <c r="M22" s="64"/>
    </row>
    <row r="23" spans="2:13" x14ac:dyDescent="0.25">
      <c r="D23" s="2" t="str">
        <f>D18</f>
        <v>Fábio Nazareno Machado da Silva</v>
      </c>
      <c r="E23" s="2" t="str">
        <f>E18</f>
        <v>Eugenio de Felice Zampini</v>
      </c>
      <c r="F23" s="2" t="str">
        <f>F18</f>
        <v>Luiz Carlos Rodrigues Montes</v>
      </c>
    </row>
    <row r="24" spans="2:13" ht="23.25" x14ac:dyDescent="0.25">
      <c r="H24" s="5" t="str">
        <f>IF(COUNTA(D8:H10)=15,IF(M18&gt;(M19+M21), "Eleição encerrada no primeiro turno.", "Haverá segundo turno entre os dois primeiro colocados"),"")</f>
        <v/>
      </c>
    </row>
    <row r="25" spans="2:13" ht="23.25" x14ac:dyDescent="0.25">
      <c r="H25" s="5" t="str">
        <f>IF(COUNTA(D9:H11)=15,"Em caso de empate utilizar os critérios elencados no código eleitoral","")</f>
        <v/>
      </c>
    </row>
    <row r="28" spans="2:13" ht="24.95" customHeight="1" x14ac:dyDescent="0.25"/>
    <row r="29" spans="2:13" ht="33.950000000000003" customHeight="1" x14ac:dyDescent="0.25"/>
    <row r="30" spans="2:13" ht="33.950000000000003" customHeight="1" x14ac:dyDescent="0.25"/>
    <row r="31" spans="2:13" ht="33.950000000000003" customHeight="1" x14ac:dyDescent="0.25"/>
  </sheetData>
  <sheetProtection sheet="1" objects="1" scenarios="1" selectLockedCells="1"/>
  <mergeCells count="14">
    <mergeCell ref="H19:H20"/>
    <mergeCell ref="I19:L20"/>
    <mergeCell ref="M19:M20"/>
    <mergeCell ref="H21:H22"/>
    <mergeCell ref="I21:L22"/>
    <mergeCell ref="M21:M22"/>
    <mergeCell ref="B6:B7"/>
    <mergeCell ref="C6:C7"/>
    <mergeCell ref="D6:I6"/>
    <mergeCell ref="J6:J7"/>
    <mergeCell ref="C17:C18"/>
    <mergeCell ref="D17:F17"/>
    <mergeCell ref="I17:L17"/>
    <mergeCell ref="I18:L18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F9162B54864B49929151DB697C59AD" ma:contentTypeVersion="9" ma:contentTypeDescription="Crie um novo documento." ma:contentTypeScope="" ma:versionID="5204626aaf4d12195b419209cfde177b">
  <xsd:schema xmlns:xsd="http://www.w3.org/2001/XMLSchema" xmlns:xs="http://www.w3.org/2001/XMLSchema" xmlns:p="http://schemas.microsoft.com/office/2006/metadata/properties" xmlns:ns2="7a8d37a6-e663-4e27-83c2-3172aa774f23" targetNamespace="http://schemas.microsoft.com/office/2006/metadata/properties" ma:root="true" ma:fieldsID="cc18c80e7bc4fb37f6a5ae24cfd4da01" ns2:_="">
    <xsd:import namespace="7a8d37a6-e663-4e27-83c2-3172aa774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d37a6-e663-4e27-83c2-3172aa774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3A12CC-3471-4183-B4FE-63727F1B370A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a8d37a6-e663-4e27-83c2-3172aa774f23"/>
  </ds:schemaRefs>
</ds:datastoreItem>
</file>

<file path=customXml/itemProps2.xml><?xml version="1.0" encoding="utf-8"?>
<ds:datastoreItem xmlns:ds="http://schemas.openxmlformats.org/officeDocument/2006/customXml" ds:itemID="{999D680B-1678-4198-AA76-FFE87D2749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20D898-FD74-4055-BFA6-964698FA92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8d37a6-e663-4e27-83c2-3172aa774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45</vt:i4>
      </vt:variant>
    </vt:vector>
  </HeadingPairs>
  <TitlesOfParts>
    <vt:vector size="45" baseType="lpstr">
      <vt:lpstr>Menu</vt:lpstr>
      <vt:lpstr>TVC</vt:lpstr>
      <vt:lpstr>Reitor</vt:lpstr>
      <vt:lpstr>TUP</vt:lpstr>
      <vt:lpstr>SMP</vt:lpstr>
      <vt:lpstr>JND</vt:lpstr>
      <vt:lpstr>IST</vt:lpstr>
      <vt:lpstr>VTP</vt:lpstr>
      <vt:lpstr>SZN</vt:lpstr>
      <vt:lpstr>SOR</vt:lpstr>
      <vt:lpstr>SRT</vt:lpstr>
      <vt:lpstr>SRQ</vt:lpstr>
      <vt:lpstr>SPO</vt:lpstr>
      <vt:lpstr>SJC</vt:lpstr>
      <vt:lpstr>SBV</vt:lpstr>
      <vt:lpstr>SCL</vt:lpstr>
      <vt:lpstr>SLT</vt:lpstr>
      <vt:lpstr>RGT</vt:lpstr>
      <vt:lpstr>PEP</vt:lpstr>
      <vt:lpstr>PTB</vt:lpstr>
      <vt:lpstr>PRC</vt:lpstr>
      <vt:lpstr>MTO</vt:lpstr>
      <vt:lpstr>JCR</vt:lpstr>
      <vt:lpstr>ITQ</vt:lpstr>
      <vt:lpstr>ITP</vt:lpstr>
      <vt:lpstr>HTO</vt:lpstr>
      <vt:lpstr>GRU</vt:lpstr>
      <vt:lpstr>CBT</vt:lpstr>
      <vt:lpstr>CTD</vt:lpstr>
      <vt:lpstr>CAR</vt:lpstr>
      <vt:lpstr>CPV</vt:lpstr>
      <vt:lpstr>CJO</vt:lpstr>
      <vt:lpstr>CMP</vt:lpstr>
      <vt:lpstr>BRA</vt:lpstr>
      <vt:lpstr>BTV</vt:lpstr>
      <vt:lpstr>BRI</vt:lpstr>
      <vt:lpstr>BRT</vt:lpstr>
      <vt:lpstr>AVR</vt:lpstr>
      <vt:lpstr>ARQ</vt:lpstr>
      <vt:lpstr>TODOS</vt:lpstr>
      <vt:lpstr>campus</vt:lpstr>
      <vt:lpstr>urnas</vt:lpstr>
      <vt:lpstr>1C</vt:lpstr>
      <vt:lpstr>2C</vt:lpstr>
      <vt:lpstr>3C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Usuário do Windows</cp:lastModifiedBy>
  <dcterms:created xsi:type="dcterms:W3CDTF">2020-10-12T18:44:48Z</dcterms:created>
  <dcterms:modified xsi:type="dcterms:W3CDTF">2020-10-14T15:50:45Z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0x010100FCF9162B54864B49929151DB697C59AD</vt:lpwstr>
  </property>
</Properties>
</file>